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Актай" sheetId="1" r:id="rId1"/>
    <sheet name="13.05.16" sheetId="2" r:id="rId2"/>
  </sheets>
  <definedNames>
    <definedName name="sub_191" localSheetId="1">'13.05.16'!$A$11</definedName>
    <definedName name="sub_191" localSheetId="0">'Актай'!$A$11</definedName>
    <definedName name="_xlnm.Print_Area" localSheetId="1">'13.05.16'!$A$1:$AF$288</definedName>
    <definedName name="_xlnm.Print_Area" localSheetId="0">'Актай'!$A$1:$M$288</definedName>
  </definedNames>
  <calcPr fullCalcOnLoad="1" refMode="R1C1"/>
</workbook>
</file>

<file path=xl/sharedStrings.xml><?xml version="1.0" encoding="utf-8"?>
<sst xmlns="http://schemas.openxmlformats.org/spreadsheetml/2006/main" count="618" uniqueCount="110">
  <si>
    <t>№</t>
  </si>
  <si>
    <t>стро-ки</t>
  </si>
  <si>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</si>
  <si>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</t>
  </si>
  <si>
    <t xml:space="preserve">Номер строки  задач, целевых показате-лей, </t>
  </si>
  <si>
    <t xml:space="preserve">на достиже-ние которых направле-ны </t>
  </si>
  <si>
    <t>мероприя-тия</t>
  </si>
  <si>
    <t>Всего</t>
  </si>
  <si>
    <t>2014г.</t>
  </si>
  <si>
    <t>2015г.</t>
  </si>
  <si>
    <t>2016г.</t>
  </si>
  <si>
    <t>2017г.</t>
  </si>
  <si>
    <t>2018г.</t>
  </si>
  <si>
    <t>2019г.</t>
  </si>
  <si>
    <t>2020г.</t>
  </si>
  <si>
    <t>областной бюджет</t>
  </si>
  <si>
    <t>местный бюджет</t>
  </si>
  <si>
    <t>Прочие нужды</t>
  </si>
  <si>
    <t>в том числе субсидии  бюджетам ОУ</t>
  </si>
  <si>
    <t>Подпрограмма 1 «Развитие системы дошкольного образования  в городском округе Верхотурский до 2020 года»</t>
  </si>
  <si>
    <t>ВСЕГО ПО ПОДПРОГРАММЕ, В ТОМ ЧИСЛЕ</t>
  </si>
  <si>
    <t>Мероприятие 5</t>
  </si>
  <si>
    <t>Подпрограмма 2 «Развитие системы общего образования в городском округе Верхотурский до 2020 года»</t>
  </si>
  <si>
    <t>Местный бюджет</t>
  </si>
  <si>
    <t>местный  бюджет</t>
  </si>
  <si>
    <t>Мероприятие 7</t>
  </si>
  <si>
    <t>Мероприятие 8.</t>
  </si>
  <si>
    <t>Подпрограмма 3 «Развитие системы дополнительного образования в городском округе Верхотурский до 2020 года»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</si>
  <si>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</si>
  <si>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</si>
  <si>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</si>
  <si>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</si>
  <si>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Повышение квалификации организаторов отдыха детей в каникулярное время, всего, из них:</t>
  </si>
  <si>
    <t>в том числе субсидии образовательным организациям</t>
  </si>
  <si>
    <t>Подпрограмма 5 «Патриотическое воспитание подрастающего поколения  в городском округе Верхотурский »</t>
  </si>
  <si>
    <t>Подпрограмма 6 «Обеспечение реализации  программы  «Развитие системы образования</t>
  </si>
  <si>
    <t>в городском округе Верхотурский до 2020 года»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</si>
  <si>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</si>
  <si>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</si>
  <si>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</si>
  <si>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</si>
  <si>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оплату труда работников муниципальных общеобразовательных учреждений,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</si>
  <si>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общего образования в части финансирования расходов на приобретение учебников и учебных пособий, средств обучения, игр, игрушек в муниципальных общеобразовательных учреждениях, всего, из них:</t>
    </r>
  </si>
  <si>
    <t>Мероприятие 6</t>
  </si>
  <si>
    <t>в том числе субсидии  бюджетным и автономным ОУ</t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</si>
  <si>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учреждениях,в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</si>
  <si>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прав граждан на получение  общедоступного и бесплатного дошкольного  образования в муниципальных дошкольных учреждениях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</si>
  <si>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учреждениях, всего, из них:</t>
    </r>
  </si>
  <si>
    <r>
      <rPr>
        <b/>
        <sz val="12"/>
        <color indexed="8"/>
        <rFont val="Times New Roman"/>
        <family val="1"/>
      </rPr>
      <t>Мероприятие 4.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учреждениях, всего, из них:</t>
    </r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</si>
  <si>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</si>
  <si>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</si>
  <si>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t>Обеспечение мероприятий по укреплению и развитию материально-технической базы муниципальных  учреждений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</si>
  <si>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 в сфере образования,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</si>
  <si>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</si>
  <si>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t>в том числе субсидии  бюджетным и автономным учреждениям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</si>
  <si>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</si>
  <si>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2020 года»</t>
    </r>
  </si>
  <si>
    <t>Повышение квалификации работников муниципальных общеобразовательных учреждений, всего, из них:</t>
  </si>
  <si>
    <t>Развитие сети муниципальных общеобразовательных учреждений (строительство, реконструкция зданий), всего, из них:</t>
  </si>
  <si>
    <t>Повышение квалификации работников муниципальных дошкольных образовательных учреждений, всего, из них:</t>
  </si>
  <si>
    <t>Развитие сети муниципальных дошкольных образовательных учреждений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</si>
  <si>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учреждения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</si>
  <si>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</si>
  <si>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учреждениях дополнительного образования, всего, из них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</si>
  <si>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</si>
  <si>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</si>
  <si>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t>Обеспечение мероприятий по укреплению и развитию материально-технической базы муниципальных дошкольных 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</si>
  <si>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 учреждениях, всего, из них:</t>
    </r>
  </si>
  <si>
    <t>Обеспечение мероприятий по укреплению и развитию материально-технической базы  муниципальных общеобразовательных учреждений ,всего, из них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</si>
  <si>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учреждениях дополнительного образования, всего, из них:</t>
    </r>
  </si>
  <si>
    <t>Повышение квалификации работников муниципальных  учреждений дополнительного образования, всего, из них: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</si>
  <si>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</si>
  <si>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>Объем расходов  на  выполнение Плана мероприятий муниципальной  программы городского округа Верхотурский</t>
  </si>
  <si>
    <t>«Развитие образования в городском  округе Верхотурский до 2020 года»</t>
  </si>
  <si>
    <t xml:space="preserve">в том числе субсидии  бюджетным и автономным </t>
  </si>
  <si>
    <t>в том числе субсидии  бюджетным и автономным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</si>
  <si>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учреждения , всего, из них:</t>
    </r>
  </si>
  <si>
    <t>Мероприятие 8.1.</t>
  </si>
  <si>
    <t>Мероприятие 8.2.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</si>
  <si>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учреждения ,всего, из них</t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</si>
  <si>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подвозаобучающихся в муниципальные общеобразовательные учреждения, оснащение аппаратурой спутниковой навигации ГЛОНАСС, тахографами используемого парка автобусов , всего, из них:</t>
    </r>
  </si>
  <si>
    <t>Приложение 2</t>
  </si>
  <si>
    <r>
      <rPr>
        <b/>
        <sz val="12"/>
        <color indexed="8"/>
        <rFont val="Times New Roman"/>
        <family val="1"/>
      </rPr>
      <t>Мероприятие 9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учреждениях, всего, из них</t>
    </r>
  </si>
  <si>
    <t>3,4,5,6</t>
  </si>
  <si>
    <t>3,4,5</t>
  </si>
  <si>
    <t>9,10,11</t>
  </si>
  <si>
    <t>16,17,18,19,20,22</t>
  </si>
  <si>
    <t>16,17,18,19,20</t>
  </si>
  <si>
    <t>16,17,27,28</t>
  </si>
  <si>
    <t>16,17,29,30</t>
  </si>
  <si>
    <t>16,24,31,32,33</t>
  </si>
  <si>
    <t>38,39,40,41</t>
  </si>
  <si>
    <t>60,61,62,63</t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</si>
  <si>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</si>
  <si>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</si>
  <si>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</si>
  <si>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</si>
  <si>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</si>
  <si>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</si>
  <si>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10.</t>
  </si>
  <si>
    <t>Мероприятие 11.</t>
  </si>
  <si>
    <r>
      <t>Создание условий для инклюзивного обучения детей-инвалидов в 2015 году,</t>
    </r>
    <r>
      <rPr>
        <sz val="12"/>
        <color indexed="8"/>
        <rFont val="Times New Roman"/>
        <family val="1"/>
      </rPr>
      <t xml:space="preserve">   всего, из них</t>
    </r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</si>
  <si>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спортом:                    </t>
    </r>
    <r>
      <rPr>
        <i/>
        <sz val="12"/>
        <color indexed="8"/>
        <rFont val="Times New Roman"/>
        <family val="1"/>
      </rPr>
      <t xml:space="preserve"> </t>
    </r>
  </si>
  <si>
    <t>из них на проведение капитального ремонта спортивных залов:                       всего, в том числе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</si>
  <si>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</si>
  <si>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t>Капитальный ремонт зданий и помещений муниципальных общеобразовательных учреждений  всего, из них</t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</si>
  <si>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</si>
  <si>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учреждениях,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</si>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</sst>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5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6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2" fontId="47" fillId="0" borderId="14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 wrapText="1"/>
    </xf>
    <xf numFmtId="2" fontId="47" fillId="0" borderId="14" xfId="0" applyNumberFormat="1" applyFont="1" applyBorder="1" applyAlignment="1">
      <alignment vertical="center" wrapText="1"/>
    </xf>
    <xf numFmtId="2" fontId="50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164" fontId="50" fillId="0" borderId="14" xfId="0" applyNumberFormat="1" applyFont="1" applyBorder="1" applyAlignment="1">
      <alignment horizontal="center" vertical="center"/>
    </xf>
    <xf numFmtId="164" fontId="47" fillId="0" borderId="14" xfId="0" applyNumberFormat="1" applyFont="1" applyBorder="1" applyAlignment="1">
      <alignment horizontal="center" vertical="center"/>
    </xf>
    <xf numFmtId="0" fontId="46" fillId="33" borderId="14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165" fontId="47" fillId="0" borderId="14" xfId="0" applyNumberFormat="1" applyFont="1" applyBorder="1" applyAlignment="1">
      <alignment horizontal="center" vertical="center"/>
    </xf>
    <xf numFmtId="165" fontId="50" fillId="0" borderId="14" xfId="0" applyNumberFormat="1" applyFont="1" applyBorder="1" applyAlignment="1">
      <alignment horizontal="center" vertical="center"/>
    </xf>
    <xf numFmtId="2" fontId="47" fillId="34" borderId="14" xfId="0" applyNumberFormat="1" applyFont="1" applyFill="1" applyBorder="1" applyAlignment="1">
      <alignment horizontal="center" vertical="center"/>
    </xf>
    <xf numFmtId="2" fontId="50" fillId="34" borderId="14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vertical="center"/>
    </xf>
    <xf numFmtId="0" fontId="49" fillId="34" borderId="15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left" vertical="center"/>
    </xf>
    <xf numFmtId="164" fontId="47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2" fontId="50" fillId="33" borderId="15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47" fillId="34" borderId="0" xfId="0" applyNumberFormat="1" applyFont="1" applyFill="1" applyBorder="1" applyAlignment="1">
      <alignment horizontal="center" vertical="center"/>
    </xf>
    <xf numFmtId="165" fontId="47" fillId="34" borderId="14" xfId="0" applyNumberFormat="1" applyFont="1" applyFill="1" applyBorder="1" applyAlignment="1">
      <alignment horizontal="center" vertical="center"/>
    </xf>
    <xf numFmtId="164" fontId="47" fillId="34" borderId="14" xfId="0" applyNumberFormat="1" applyFont="1" applyFill="1" applyBorder="1" applyAlignment="1">
      <alignment horizontal="center" vertical="center"/>
    </xf>
    <xf numFmtId="2" fontId="47" fillId="34" borderId="14" xfId="0" applyNumberFormat="1" applyFont="1" applyFill="1" applyBorder="1" applyAlignment="1">
      <alignment horizontal="center" vertical="center" wrapText="1"/>
    </xf>
    <xf numFmtId="2" fontId="47" fillId="34" borderId="14" xfId="0" applyNumberFormat="1" applyFont="1" applyFill="1" applyBorder="1" applyAlignment="1">
      <alignment vertical="center" wrapText="1"/>
    </xf>
    <xf numFmtId="16" fontId="0" fillId="0" borderId="0" xfId="0" applyNumberFormat="1" applyAlignment="1">
      <alignment/>
    </xf>
    <xf numFmtId="16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50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6" fontId="0" fillId="34" borderId="0" xfId="0" applyNumberFormat="1" applyFill="1" applyAlignment="1">
      <alignment/>
    </xf>
    <xf numFmtId="0" fontId="46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46" fillId="34" borderId="16" xfId="0" applyFont="1" applyFill="1" applyBorder="1" applyAlignment="1">
      <alignment vertical="center" wrapText="1"/>
    </xf>
    <xf numFmtId="0" fontId="46" fillId="34" borderId="0" xfId="0" applyFont="1" applyFill="1" applyAlignment="1">
      <alignment vertical="center" wrapText="1"/>
    </xf>
    <xf numFmtId="14" fontId="0" fillId="0" borderId="0" xfId="0" applyNumberFormat="1" applyAlignment="1">
      <alignment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17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6" fillId="34" borderId="16" xfId="0" applyFont="1" applyFill="1" applyBorder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48" fillId="34" borderId="11" xfId="0" applyFont="1" applyFill="1" applyBorder="1" applyAlignment="1">
      <alignment vertical="center"/>
    </xf>
    <xf numFmtId="0" fontId="47" fillId="34" borderId="16" xfId="0" applyFont="1" applyFill="1" applyBorder="1" applyAlignment="1">
      <alignment vertical="center" wrapText="1"/>
    </xf>
    <xf numFmtId="0" fontId="47" fillId="34" borderId="0" xfId="0" applyFont="1" applyFill="1" applyAlignment="1">
      <alignment vertical="center" wrapText="1"/>
    </xf>
    <xf numFmtId="0" fontId="48" fillId="34" borderId="17" xfId="0" applyFon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2" fontId="50" fillId="34" borderId="17" xfId="0" applyNumberFormat="1" applyFont="1" applyFill="1" applyBorder="1" applyAlignment="1">
      <alignment horizontal="center" vertical="center"/>
    </xf>
    <xf numFmtId="2" fontId="50" fillId="34" borderId="11" xfId="0" applyNumberFormat="1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8" fillId="0" borderId="17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164" fontId="47" fillId="0" borderId="17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65" fontId="50" fillId="0" borderId="17" xfId="0" applyNumberFormat="1" applyFont="1" applyBorder="1" applyAlignment="1">
      <alignment horizontal="center" vertical="center"/>
    </xf>
    <xf numFmtId="165" fontId="50" fillId="0" borderId="11" xfId="0" applyNumberFormat="1" applyFont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2" fontId="50" fillId="0" borderId="17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vertical="center" wrapText="1"/>
    </xf>
    <xf numFmtId="2" fontId="47" fillId="0" borderId="0" xfId="0" applyNumberFormat="1" applyFont="1" applyAlignment="1">
      <alignment vertical="center" wrapText="1"/>
    </xf>
    <xf numFmtId="2" fontId="47" fillId="33" borderId="16" xfId="0" applyNumberFormat="1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9"/>
  <sheetViews>
    <sheetView zoomScaleSheetLayoutView="85" zoomScalePageLayoutView="0" workbookViewId="0" topLeftCell="A233">
      <selection activeCell="F237" sqref="F237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0" width="9.140625" style="0" hidden="1" customWidth="1"/>
    <col min="21" max="21" width="0" style="0" hidden="1" customWidth="1"/>
    <col min="22" max="22" width="8.00390625" style="0" hidden="1" customWidth="1"/>
    <col min="23" max="23" width="9.57421875" style="0" hidden="1" customWidth="1"/>
    <col min="24" max="24" width="8.140625" style="0" hidden="1" customWidth="1"/>
    <col min="25" max="25" width="0" style="49" hidden="1" customWidth="1"/>
    <col min="26" max="26" width="7.28125" style="41" hidden="1" customWidth="1"/>
    <col min="27" max="27" width="7.8515625" style="41" hidden="1" customWidth="1"/>
    <col min="28" max="28" width="7.57421875" style="41" hidden="1" customWidth="1"/>
    <col min="29" max="31" width="10.140625" style="0" hidden="1" customWidth="1"/>
  </cols>
  <sheetData>
    <row r="1" spans="10:31" ht="15">
      <c r="J1" s="132" t="s">
        <v>81</v>
      </c>
      <c r="K1" s="133"/>
      <c r="V1" s="47">
        <v>42053</v>
      </c>
      <c r="W1" s="47">
        <v>42082</v>
      </c>
      <c r="X1" s="47">
        <v>42094</v>
      </c>
      <c r="Y1" s="48">
        <v>42158</v>
      </c>
      <c r="Z1" s="53">
        <v>42172</v>
      </c>
      <c r="AA1" s="53">
        <v>42214</v>
      </c>
      <c r="AB1" s="53">
        <v>42242</v>
      </c>
      <c r="AC1" s="53">
        <v>42305</v>
      </c>
      <c r="AD1" s="67">
        <v>42333</v>
      </c>
      <c r="AE1" s="67">
        <v>42361</v>
      </c>
    </row>
    <row r="2" spans="1:29" ht="15.75">
      <c r="A2" s="134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AB2" s="41">
        <f>AB23+AB73+AB208+AB257</f>
        <v>-740.4</v>
      </c>
      <c r="AC2" s="41">
        <f>AC23+AC73+AC208+AC257</f>
        <v>0</v>
      </c>
    </row>
    <row r="3" spans="1:11" ht="15.75">
      <c r="A3" s="134" t="s">
        <v>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ht="15.75">
      <c r="A4" s="61"/>
    </row>
    <row r="5" ht="15.75" thickBot="1">
      <c r="A5" s="1"/>
    </row>
    <row r="6" spans="1:11" ht="75.75" customHeight="1">
      <c r="A6" s="56" t="s">
        <v>0</v>
      </c>
      <c r="B6" s="137" t="s">
        <v>2</v>
      </c>
      <c r="C6" s="140" t="s">
        <v>3</v>
      </c>
      <c r="D6" s="141"/>
      <c r="E6" s="141"/>
      <c r="F6" s="141"/>
      <c r="G6" s="141"/>
      <c r="H6" s="141"/>
      <c r="I6" s="141"/>
      <c r="J6" s="142"/>
      <c r="K6" s="58" t="s">
        <v>4</v>
      </c>
    </row>
    <row r="7" spans="1:11" ht="69.75" customHeight="1">
      <c r="A7" s="57" t="s">
        <v>1</v>
      </c>
      <c r="B7" s="138"/>
      <c r="C7" s="143"/>
      <c r="D7" s="144"/>
      <c r="E7" s="144"/>
      <c r="F7" s="144"/>
      <c r="G7" s="144"/>
      <c r="H7" s="144"/>
      <c r="I7" s="144"/>
      <c r="J7" s="145"/>
      <c r="K7" s="59" t="s">
        <v>5</v>
      </c>
    </row>
    <row r="8" spans="1:11" ht="21.75" customHeight="1">
      <c r="A8" s="2"/>
      <c r="B8" s="138"/>
      <c r="C8" s="143"/>
      <c r="D8" s="144"/>
      <c r="E8" s="144"/>
      <c r="F8" s="144"/>
      <c r="G8" s="144"/>
      <c r="H8" s="144"/>
      <c r="I8" s="144"/>
      <c r="J8" s="145"/>
      <c r="K8" s="59" t="s">
        <v>6</v>
      </c>
    </row>
    <row r="9" spans="1:11" ht="16.5" thickBot="1">
      <c r="A9" s="2"/>
      <c r="B9" s="138"/>
      <c r="C9" s="146"/>
      <c r="D9" s="147"/>
      <c r="E9" s="147"/>
      <c r="F9" s="147"/>
      <c r="G9" s="147"/>
      <c r="H9" s="147"/>
      <c r="I9" s="147"/>
      <c r="J9" s="148"/>
      <c r="K9" s="60"/>
    </row>
    <row r="10" spans="1:11" ht="16.5" thickBot="1">
      <c r="A10" s="3"/>
      <c r="B10" s="139"/>
      <c r="C10" s="60" t="s">
        <v>7</v>
      </c>
      <c r="D10" s="60" t="s">
        <v>8</v>
      </c>
      <c r="E10" s="60" t="s">
        <v>9</v>
      </c>
      <c r="F10" s="60" t="s">
        <v>10</v>
      </c>
      <c r="G10" s="60" t="s">
        <v>11</v>
      </c>
      <c r="H10" s="60" t="s">
        <v>12</v>
      </c>
      <c r="I10" s="60" t="s">
        <v>13</v>
      </c>
      <c r="J10" s="60" t="s">
        <v>14</v>
      </c>
      <c r="K10" s="60"/>
    </row>
    <row r="11" spans="1:20" ht="16.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91"/>
      <c r="M11" s="92"/>
      <c r="N11" s="92"/>
      <c r="O11" s="92"/>
      <c r="P11" s="92"/>
      <c r="Q11" s="92"/>
      <c r="R11" s="92"/>
      <c r="S11" s="92"/>
      <c r="T11" s="92"/>
    </row>
    <row r="12" spans="1:23" ht="63.75" thickBot="1">
      <c r="A12" s="7">
        <v>2</v>
      </c>
      <c r="B12" s="8" t="s">
        <v>95</v>
      </c>
      <c r="C12" s="14">
        <f aca="true" t="shared" si="0" ref="C12:J12">C24+C74+C169+C209+C258+C279</f>
        <v>1974654.5</v>
      </c>
      <c r="D12" s="45">
        <f t="shared" si="0"/>
        <v>252246.40000000002</v>
      </c>
      <c r="E12" s="14">
        <f t="shared" si="0"/>
        <v>264862.8</v>
      </c>
      <c r="F12" s="14">
        <f>F24+F74+F169+F209+F258+F279</f>
        <v>296319.3</v>
      </c>
      <c r="G12" s="14">
        <f t="shared" si="0"/>
        <v>290344.89999999997</v>
      </c>
      <c r="H12" s="14">
        <f t="shared" si="0"/>
        <v>290344.89999999997</v>
      </c>
      <c r="I12" s="14">
        <f t="shared" si="0"/>
        <v>290344.89999999997</v>
      </c>
      <c r="J12" s="14">
        <f t="shared" si="0"/>
        <v>290344.89999999997</v>
      </c>
      <c r="K12" s="9"/>
      <c r="L12" s="130">
        <f>L24+L74+L209</f>
        <v>806100</v>
      </c>
      <c r="M12" s="131"/>
      <c r="N12" s="131"/>
      <c r="O12" s="131"/>
      <c r="P12" s="131"/>
      <c r="Q12" s="131"/>
      <c r="R12" s="131"/>
      <c r="S12" s="131"/>
      <c r="T12" s="131"/>
      <c r="W12" s="52"/>
    </row>
    <row r="13" spans="1:20" ht="16.5" thickBot="1">
      <c r="A13" s="7">
        <v>3</v>
      </c>
      <c r="B13" s="8" t="s">
        <v>98</v>
      </c>
      <c r="C13" s="15">
        <f>C77</f>
        <v>1243.4</v>
      </c>
      <c r="D13" s="46">
        <v>0</v>
      </c>
      <c r="E13" s="15">
        <f aca="true" t="shared" si="1" ref="E13:J14">E77</f>
        <v>1243.4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9"/>
      <c r="L13" s="91"/>
      <c r="M13" s="92"/>
      <c r="N13" s="92"/>
      <c r="O13" s="92"/>
      <c r="P13" s="92"/>
      <c r="Q13" s="92"/>
      <c r="R13" s="92"/>
      <c r="S13" s="92"/>
      <c r="T13" s="92"/>
    </row>
    <row r="14" spans="1:20" ht="48" thickBot="1">
      <c r="A14" s="7">
        <v>4</v>
      </c>
      <c r="B14" s="8" t="s">
        <v>54</v>
      </c>
      <c r="C14" s="15">
        <f>C78</f>
        <v>698</v>
      </c>
      <c r="D14" s="46">
        <v>0</v>
      </c>
      <c r="E14" s="15">
        <f>E78</f>
        <v>698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9"/>
      <c r="L14" s="91"/>
      <c r="M14" s="92"/>
      <c r="N14" s="92"/>
      <c r="O14" s="92"/>
      <c r="P14" s="92"/>
      <c r="Q14" s="92"/>
      <c r="R14" s="92"/>
      <c r="S14" s="92"/>
      <c r="T14" s="92"/>
    </row>
    <row r="15" spans="1:20" ht="16.5" thickBot="1">
      <c r="A15" s="7">
        <v>5</v>
      </c>
      <c r="B15" s="8" t="s">
        <v>15</v>
      </c>
      <c r="C15" s="15">
        <f aca="true" t="shared" si="2" ref="C15:J15">C25+C79+C170+C210+C259</f>
        <v>1026071.2999999999</v>
      </c>
      <c r="D15" s="46">
        <f t="shared" si="2"/>
        <v>128814.6</v>
      </c>
      <c r="E15" s="15">
        <f t="shared" si="2"/>
        <v>136311.19999999998</v>
      </c>
      <c r="F15" s="15">
        <f t="shared" si="2"/>
        <v>162473.6</v>
      </c>
      <c r="G15" s="15">
        <f t="shared" si="2"/>
        <v>149626.7</v>
      </c>
      <c r="H15" s="15">
        <f t="shared" si="2"/>
        <v>149626.7</v>
      </c>
      <c r="I15" s="15">
        <f t="shared" si="2"/>
        <v>149626.7</v>
      </c>
      <c r="J15" s="15">
        <f t="shared" si="2"/>
        <v>149626.7</v>
      </c>
      <c r="K15" s="9"/>
      <c r="L15" s="91"/>
      <c r="M15" s="92"/>
      <c r="N15" s="92"/>
      <c r="O15" s="92"/>
      <c r="P15" s="92"/>
      <c r="Q15" s="92"/>
      <c r="R15" s="92"/>
      <c r="S15" s="92"/>
      <c r="T15" s="92"/>
    </row>
    <row r="16" spans="1:20" ht="48" thickBot="1">
      <c r="A16" s="7">
        <v>6</v>
      </c>
      <c r="B16" s="8" t="s">
        <v>54</v>
      </c>
      <c r="C16" s="15">
        <f aca="true" t="shared" si="3" ref="C16:J16">C26+C80+C171+C211+C261</f>
        <v>562241.0999999999</v>
      </c>
      <c r="D16" s="46">
        <f t="shared" si="3"/>
        <v>67727.5</v>
      </c>
      <c r="E16" s="15">
        <f t="shared" si="3"/>
        <v>73469.59999999999</v>
      </c>
      <c r="F16" s="15">
        <f t="shared" si="3"/>
        <v>89088.8</v>
      </c>
      <c r="G16" s="15">
        <f t="shared" si="3"/>
        <v>82988.8</v>
      </c>
      <c r="H16" s="15">
        <f t="shared" si="3"/>
        <v>82988.8</v>
      </c>
      <c r="I16" s="15">
        <f t="shared" si="3"/>
        <v>82988.8</v>
      </c>
      <c r="J16" s="15">
        <f t="shared" si="3"/>
        <v>82988.8</v>
      </c>
      <c r="K16" s="9"/>
      <c r="L16" s="91"/>
      <c r="M16" s="92"/>
      <c r="N16" s="92"/>
      <c r="O16" s="92"/>
      <c r="P16" s="92"/>
      <c r="Q16" s="92"/>
      <c r="R16" s="92"/>
      <c r="S16" s="92"/>
      <c r="T16" s="92"/>
    </row>
    <row r="17" spans="1:20" ht="16.5" thickBot="1">
      <c r="A17" s="7">
        <v>7</v>
      </c>
      <c r="B17" s="8" t="s">
        <v>16</v>
      </c>
      <c r="C17" s="14">
        <f aca="true" t="shared" si="4" ref="C17:J18">C27+C81+C172+C212+C261+C280</f>
        <v>947339.7000000001</v>
      </c>
      <c r="D17" s="45">
        <f t="shared" si="4"/>
        <v>123431.7</v>
      </c>
      <c r="E17" s="14">
        <f t="shared" si="4"/>
        <v>127308.19999999998</v>
      </c>
      <c r="F17" s="14">
        <f t="shared" si="4"/>
        <v>133726.99999999997</v>
      </c>
      <c r="G17" s="14">
        <f t="shared" si="4"/>
        <v>140718.19999999998</v>
      </c>
      <c r="H17" s="14">
        <f t="shared" si="4"/>
        <v>140718.19999999998</v>
      </c>
      <c r="I17" s="14">
        <f t="shared" si="4"/>
        <v>140718.19999999998</v>
      </c>
      <c r="J17" s="14">
        <f t="shared" si="4"/>
        <v>140718.19999999998</v>
      </c>
      <c r="K17" s="9"/>
      <c r="L17" s="91"/>
      <c r="M17" s="92"/>
      <c r="N17" s="92"/>
      <c r="O17" s="92"/>
      <c r="P17" s="92"/>
      <c r="Q17" s="92"/>
      <c r="R17" s="92"/>
      <c r="S17" s="92"/>
      <c r="T17" s="92"/>
    </row>
    <row r="18" spans="1:20" ht="48" thickBot="1">
      <c r="A18" s="7">
        <v>8</v>
      </c>
      <c r="B18" s="8" t="s">
        <v>54</v>
      </c>
      <c r="C18" s="14">
        <f t="shared" si="4"/>
        <v>381973.5</v>
      </c>
      <c r="D18" s="45">
        <f t="shared" si="4"/>
        <v>43234.200000000004</v>
      </c>
      <c r="E18" s="14">
        <f t="shared" si="4"/>
        <v>47914.5</v>
      </c>
      <c r="F18" s="14">
        <f t="shared" si="4"/>
        <v>58934.4</v>
      </c>
      <c r="G18" s="14">
        <f t="shared" si="4"/>
        <v>57972.6</v>
      </c>
      <c r="H18" s="14">
        <f t="shared" si="4"/>
        <v>57972.6</v>
      </c>
      <c r="I18" s="14">
        <f t="shared" si="4"/>
        <v>57972.6</v>
      </c>
      <c r="J18" s="14">
        <f t="shared" si="4"/>
        <v>57972.6</v>
      </c>
      <c r="K18" s="9"/>
      <c r="L18" s="91"/>
      <c r="M18" s="92"/>
      <c r="N18" s="92"/>
      <c r="O18" s="92"/>
      <c r="P18" s="92"/>
      <c r="Q18" s="92"/>
      <c r="R18" s="92"/>
      <c r="S18" s="92"/>
      <c r="T18" s="92"/>
    </row>
    <row r="19" spans="1:20" ht="16.5" customHeight="1" hidden="1" thickBot="1">
      <c r="A19" s="7"/>
      <c r="B19" s="8" t="s">
        <v>17</v>
      </c>
      <c r="C19" s="14"/>
      <c r="D19" s="14"/>
      <c r="E19" s="15"/>
      <c r="F19" s="14"/>
      <c r="G19" s="14"/>
      <c r="H19" s="14"/>
      <c r="I19" s="14"/>
      <c r="J19" s="14"/>
      <c r="K19" s="9"/>
      <c r="L19" s="91"/>
      <c r="M19" s="92"/>
      <c r="N19" s="92"/>
      <c r="O19" s="92"/>
      <c r="P19" s="92"/>
      <c r="Q19" s="92"/>
      <c r="R19" s="92"/>
      <c r="S19" s="92"/>
      <c r="T19" s="92"/>
    </row>
    <row r="20" spans="1:20" ht="16.5" customHeight="1" hidden="1" thickBot="1">
      <c r="A20" s="7"/>
      <c r="B20" s="8" t="s">
        <v>15</v>
      </c>
      <c r="C20" s="14"/>
      <c r="D20" s="14"/>
      <c r="E20" s="14"/>
      <c r="F20" s="14"/>
      <c r="G20" s="14"/>
      <c r="H20" s="14"/>
      <c r="I20" s="14"/>
      <c r="J20" s="14"/>
      <c r="K20" s="9"/>
      <c r="L20" s="91"/>
      <c r="M20" s="92"/>
      <c r="N20" s="92"/>
      <c r="O20" s="92"/>
      <c r="P20" s="92"/>
      <c r="Q20" s="92"/>
      <c r="R20" s="92"/>
      <c r="S20" s="92"/>
      <c r="T20" s="92"/>
    </row>
    <row r="21" spans="1:20" ht="16.5" customHeight="1" hidden="1" thickBot="1">
      <c r="A21" s="7"/>
      <c r="B21" s="8" t="s">
        <v>16</v>
      </c>
      <c r="C21" s="14"/>
      <c r="D21" s="14"/>
      <c r="E21" s="14"/>
      <c r="F21" s="14"/>
      <c r="G21" s="14"/>
      <c r="H21" s="14"/>
      <c r="I21" s="14"/>
      <c r="J21" s="14"/>
      <c r="K21" s="9"/>
      <c r="L21" s="91"/>
      <c r="M21" s="92"/>
      <c r="N21" s="92"/>
      <c r="O21" s="92"/>
      <c r="P21" s="92"/>
      <c r="Q21" s="92"/>
      <c r="R21" s="92"/>
      <c r="S21" s="92"/>
      <c r="T21" s="92"/>
    </row>
    <row r="22" spans="1:20" ht="32.25" customHeight="1" hidden="1" thickBot="1">
      <c r="A22" s="7"/>
      <c r="B22" s="8" t="s">
        <v>18</v>
      </c>
      <c r="C22" s="14"/>
      <c r="D22" s="14"/>
      <c r="E22" s="15"/>
      <c r="F22" s="14"/>
      <c r="G22" s="14"/>
      <c r="H22" s="14"/>
      <c r="I22" s="14"/>
      <c r="J22" s="14"/>
      <c r="K22" s="9"/>
      <c r="L22" s="91"/>
      <c r="M22" s="92"/>
      <c r="N22" s="92"/>
      <c r="O22" s="92"/>
      <c r="P22" s="92"/>
      <c r="Q22" s="92"/>
      <c r="R22" s="92"/>
      <c r="S22" s="92"/>
      <c r="T22" s="92"/>
    </row>
    <row r="23" spans="1:28" ht="31.5" customHeight="1" thickBot="1">
      <c r="A23" s="7">
        <v>9</v>
      </c>
      <c r="B23" s="120" t="s">
        <v>19</v>
      </c>
      <c r="C23" s="121"/>
      <c r="D23" s="121"/>
      <c r="E23" s="121"/>
      <c r="F23" s="121"/>
      <c r="G23" s="121"/>
      <c r="H23" s="121"/>
      <c r="I23" s="121"/>
      <c r="J23" s="121"/>
      <c r="K23" s="122"/>
      <c r="L23" s="91"/>
      <c r="M23" s="92"/>
      <c r="N23" s="92"/>
      <c r="O23" s="92"/>
      <c r="P23" s="92"/>
      <c r="Q23" s="92"/>
      <c r="R23" s="92"/>
      <c r="S23" s="92"/>
      <c r="T23" s="92"/>
      <c r="AB23" s="41">
        <f>AB34+AB42</f>
        <v>1420.1</v>
      </c>
    </row>
    <row r="24" spans="1:21" ht="60.75" customHeight="1" thickBot="1">
      <c r="A24" s="63">
        <v>10</v>
      </c>
      <c r="B24" s="17" t="s">
        <v>20</v>
      </c>
      <c r="C24" s="16">
        <f>D24+E24+F24+G24+H24+I24+J24</f>
        <v>495749.19999999995</v>
      </c>
      <c r="D24" s="16">
        <f>D25+D27</f>
        <v>56756.5</v>
      </c>
      <c r="E24" s="16">
        <f aca="true" t="shared" si="5" ref="E24:J24">E25+E27</f>
        <v>63142.899999999994</v>
      </c>
      <c r="F24" s="16">
        <f t="shared" si="5"/>
        <v>78362.6</v>
      </c>
      <c r="G24" s="16">
        <f t="shared" si="5"/>
        <v>74371.8</v>
      </c>
      <c r="H24" s="16">
        <f t="shared" si="5"/>
        <v>74371.8</v>
      </c>
      <c r="I24" s="16">
        <f t="shared" si="5"/>
        <v>74371.8</v>
      </c>
      <c r="J24" s="16">
        <f t="shared" si="5"/>
        <v>74371.8</v>
      </c>
      <c r="K24" s="32"/>
      <c r="L24" s="91">
        <f>L33+L38+L41+L48</f>
        <v>-94805.3600000001</v>
      </c>
      <c r="M24" s="92"/>
      <c r="N24" s="92"/>
      <c r="O24" s="92"/>
      <c r="P24" s="92"/>
      <c r="Q24" s="92"/>
      <c r="R24" s="92"/>
      <c r="S24" s="92"/>
      <c r="T24" s="92"/>
      <c r="U24">
        <v>-94.8</v>
      </c>
    </row>
    <row r="25" spans="1:20" ht="16.5" thickBot="1">
      <c r="A25" s="63">
        <v>11</v>
      </c>
      <c r="B25" s="8" t="s">
        <v>15</v>
      </c>
      <c r="C25" s="16">
        <f>D25+E25+F25+G25+H25+I25+J25</f>
        <v>238979</v>
      </c>
      <c r="D25" s="13">
        <f aca="true" t="shared" si="6" ref="D25:J26">D34+D50+D56+D61+D39</f>
        <v>27439</v>
      </c>
      <c r="E25" s="13">
        <f t="shared" si="6"/>
        <v>31079</v>
      </c>
      <c r="F25" s="13">
        <f t="shared" si="6"/>
        <v>40849</v>
      </c>
      <c r="G25" s="13">
        <f t="shared" si="6"/>
        <v>34903</v>
      </c>
      <c r="H25" s="13">
        <f t="shared" si="6"/>
        <v>34903</v>
      </c>
      <c r="I25" s="13">
        <f t="shared" si="6"/>
        <v>34903</v>
      </c>
      <c r="J25" s="13">
        <f t="shared" si="6"/>
        <v>34903</v>
      </c>
      <c r="K25" s="32"/>
      <c r="L25" s="91"/>
      <c r="M25" s="92"/>
      <c r="N25" s="92"/>
      <c r="O25" s="92"/>
      <c r="P25" s="92"/>
      <c r="Q25" s="92"/>
      <c r="R25" s="92"/>
      <c r="S25" s="92"/>
      <c r="T25" s="92"/>
    </row>
    <row r="26" spans="1:20" ht="48" thickBot="1">
      <c r="A26" s="63">
        <v>12</v>
      </c>
      <c r="B26" s="8" t="s">
        <v>38</v>
      </c>
      <c r="C26" s="16">
        <f>D26+E26+F26+G26+H26+I26+J26</f>
        <v>227391.49999999994</v>
      </c>
      <c r="D26" s="13">
        <f t="shared" si="6"/>
        <v>26199.8</v>
      </c>
      <c r="E26" s="13">
        <f t="shared" si="6"/>
        <v>29535.6</v>
      </c>
      <c r="F26" s="13">
        <f t="shared" si="6"/>
        <v>38646.9</v>
      </c>
      <c r="G26" s="13">
        <f t="shared" si="6"/>
        <v>33252.299999999996</v>
      </c>
      <c r="H26" s="13">
        <f t="shared" si="6"/>
        <v>33252.299999999996</v>
      </c>
      <c r="I26" s="13">
        <f t="shared" si="6"/>
        <v>33252.299999999996</v>
      </c>
      <c r="J26" s="13">
        <f t="shared" si="6"/>
        <v>33252.299999999996</v>
      </c>
      <c r="K26" s="32"/>
      <c r="L26" s="91"/>
      <c r="M26" s="92"/>
      <c r="N26" s="92"/>
      <c r="O26" s="92"/>
      <c r="P26" s="92"/>
      <c r="Q26" s="92"/>
      <c r="R26" s="92"/>
      <c r="S26" s="92"/>
      <c r="T26" s="92"/>
    </row>
    <row r="27" spans="1:20" ht="16.5" thickBot="1">
      <c r="A27" s="63">
        <v>13</v>
      </c>
      <c r="B27" s="8" t="s">
        <v>16</v>
      </c>
      <c r="C27" s="16">
        <f>D27+E27+F27+G27+H27+I27+J27</f>
        <v>256770.19999999995</v>
      </c>
      <c r="D27" s="24">
        <f>D36+D42+D46+D52+D58+D63</f>
        <v>29317.5</v>
      </c>
      <c r="E27" s="13">
        <f>E36+E42+E46+E52+E58+E63</f>
        <v>32063.899999999994</v>
      </c>
      <c r="F27" s="13">
        <f>F36+F42+F46+F52+F58+F63+F71</f>
        <v>37513.6</v>
      </c>
      <c r="G27" s="13">
        <f aca="true" t="shared" si="7" ref="G27:J28">G36+G42+G46+G52+G58+G63</f>
        <v>39468.8</v>
      </c>
      <c r="H27" s="13">
        <f t="shared" si="7"/>
        <v>39468.8</v>
      </c>
      <c r="I27" s="13">
        <f t="shared" si="7"/>
        <v>39468.8</v>
      </c>
      <c r="J27" s="13">
        <f t="shared" si="7"/>
        <v>39468.8</v>
      </c>
      <c r="K27" s="32"/>
      <c r="L27" s="91"/>
      <c r="M27" s="92"/>
      <c r="N27" s="92"/>
      <c r="O27" s="92"/>
      <c r="P27" s="92"/>
      <c r="Q27" s="92"/>
      <c r="R27" s="92"/>
      <c r="S27" s="92"/>
      <c r="T27" s="92"/>
    </row>
    <row r="28" spans="1:20" ht="48" thickBot="1">
      <c r="A28" s="63">
        <v>14</v>
      </c>
      <c r="B28" s="8" t="s">
        <v>38</v>
      </c>
      <c r="C28" s="16">
        <f>D28+E28+F28+G28+H28+I28+J28</f>
        <v>238757.9</v>
      </c>
      <c r="D28" s="24">
        <f>D37+D43+D47+D53+D59+D64-0.1</f>
        <v>27010.4</v>
      </c>
      <c r="E28" s="13">
        <f>E37+E43+E47+E53+E59+E64</f>
        <v>28384.9</v>
      </c>
      <c r="F28" s="13">
        <f>F37+F43+F47+F53+F59+F64</f>
        <v>35142.6</v>
      </c>
      <c r="G28" s="13">
        <f t="shared" si="7"/>
        <v>37055</v>
      </c>
      <c r="H28" s="13">
        <f t="shared" si="7"/>
        <v>37055</v>
      </c>
      <c r="I28" s="13">
        <f t="shared" si="7"/>
        <v>37055</v>
      </c>
      <c r="J28" s="13">
        <f t="shared" si="7"/>
        <v>37055</v>
      </c>
      <c r="K28" s="32"/>
      <c r="L28" s="91"/>
      <c r="M28" s="92"/>
      <c r="N28" s="92"/>
      <c r="O28" s="92"/>
      <c r="P28" s="92"/>
      <c r="Q28" s="92"/>
      <c r="R28" s="92"/>
      <c r="S28" s="92"/>
      <c r="T28" s="92"/>
    </row>
    <row r="29" spans="1:20" ht="16.5" customHeight="1" hidden="1" thickBot="1">
      <c r="A29" s="63"/>
      <c r="B29" s="8" t="s">
        <v>17</v>
      </c>
      <c r="C29" s="13"/>
      <c r="D29" s="13"/>
      <c r="E29" s="13"/>
      <c r="F29" s="13"/>
      <c r="G29" s="13"/>
      <c r="H29" s="13"/>
      <c r="I29" s="13"/>
      <c r="J29" s="13"/>
      <c r="K29" s="32"/>
      <c r="L29" s="91"/>
      <c r="M29" s="92"/>
      <c r="N29" s="92"/>
      <c r="O29" s="92"/>
      <c r="P29" s="92"/>
      <c r="Q29" s="92"/>
      <c r="R29" s="92"/>
      <c r="S29" s="92"/>
      <c r="T29" s="92"/>
    </row>
    <row r="30" spans="1:20" ht="16.5" customHeight="1" hidden="1" thickBot="1">
      <c r="A30" s="63"/>
      <c r="B30" s="8" t="s">
        <v>15</v>
      </c>
      <c r="C30" s="13"/>
      <c r="D30" s="13"/>
      <c r="E30" s="13"/>
      <c r="F30" s="13"/>
      <c r="G30" s="13"/>
      <c r="H30" s="13"/>
      <c r="I30" s="13"/>
      <c r="J30" s="13"/>
      <c r="K30" s="32"/>
      <c r="L30" s="91"/>
      <c r="M30" s="92"/>
      <c r="N30" s="92"/>
      <c r="O30" s="92"/>
      <c r="P30" s="92"/>
      <c r="Q30" s="92"/>
      <c r="R30" s="92"/>
      <c r="S30" s="92"/>
      <c r="T30" s="92"/>
    </row>
    <row r="31" spans="1:20" ht="16.5" customHeight="1" hidden="1" thickBot="1">
      <c r="A31" s="63"/>
      <c r="B31" s="8" t="s">
        <v>16</v>
      </c>
      <c r="C31" s="13"/>
      <c r="D31" s="13"/>
      <c r="E31" s="13"/>
      <c r="F31" s="13"/>
      <c r="G31" s="13"/>
      <c r="H31" s="13"/>
      <c r="I31" s="13"/>
      <c r="J31" s="13"/>
      <c r="K31" s="32"/>
      <c r="L31" s="91"/>
      <c r="M31" s="92"/>
      <c r="N31" s="92"/>
      <c r="O31" s="92"/>
      <c r="P31" s="92"/>
      <c r="Q31" s="92"/>
      <c r="R31" s="92"/>
      <c r="S31" s="92"/>
      <c r="T31" s="92"/>
    </row>
    <row r="32" spans="1:20" ht="36.75" customHeight="1" hidden="1" thickBot="1">
      <c r="A32" s="63"/>
      <c r="B32" s="8" t="s">
        <v>18</v>
      </c>
      <c r="C32" s="13"/>
      <c r="D32" s="13"/>
      <c r="E32" s="13"/>
      <c r="F32" s="13"/>
      <c r="G32" s="13"/>
      <c r="H32" s="13"/>
      <c r="I32" s="13"/>
      <c r="J32" s="13"/>
      <c r="K32" s="32"/>
      <c r="L32" s="91"/>
      <c r="M32" s="92"/>
      <c r="N32" s="92"/>
      <c r="O32" s="92"/>
      <c r="P32" s="92"/>
      <c r="Q32" s="92"/>
      <c r="R32" s="92"/>
      <c r="S32" s="92"/>
      <c r="T32" s="92"/>
    </row>
    <row r="33" spans="1:20" ht="222" customHeight="1" thickBot="1">
      <c r="A33" s="63">
        <v>15</v>
      </c>
      <c r="B33" s="8" t="s">
        <v>45</v>
      </c>
      <c r="C33" s="16">
        <f>C34+C36</f>
        <v>234230.60000000003</v>
      </c>
      <c r="D33" s="16">
        <f aca="true" t="shared" si="8" ref="D33:J33">D34+D36</f>
        <v>26875</v>
      </c>
      <c r="E33" s="16">
        <f t="shared" si="8"/>
        <v>30332</v>
      </c>
      <c r="F33" s="16">
        <f t="shared" si="8"/>
        <v>40226.8</v>
      </c>
      <c r="G33" s="16">
        <f t="shared" si="8"/>
        <v>34199.2</v>
      </c>
      <c r="H33" s="16">
        <f t="shared" si="8"/>
        <v>34199.2</v>
      </c>
      <c r="I33" s="16">
        <f t="shared" si="8"/>
        <v>34199.2</v>
      </c>
      <c r="J33" s="16">
        <f t="shared" si="8"/>
        <v>34199.2</v>
      </c>
      <c r="K33" s="32" t="s">
        <v>83</v>
      </c>
      <c r="L33" s="91"/>
      <c r="M33" s="92"/>
      <c r="N33" s="92"/>
      <c r="O33" s="92"/>
      <c r="P33" s="92"/>
      <c r="Q33" s="92"/>
      <c r="R33" s="92"/>
      <c r="S33" s="92"/>
      <c r="T33" s="92"/>
    </row>
    <row r="34" spans="1:30" ht="16.5" thickBot="1">
      <c r="A34" s="63">
        <v>16</v>
      </c>
      <c r="B34" s="8" t="s">
        <v>15</v>
      </c>
      <c r="C34" s="16">
        <f>D34+E34+F34+G34+H34+I34+J34</f>
        <v>234230.60000000003</v>
      </c>
      <c r="D34" s="13">
        <v>26875</v>
      </c>
      <c r="E34" s="13">
        <f>28383.6+V34+AB34+AD34</f>
        <v>30332</v>
      </c>
      <c r="F34" s="13">
        <v>40226.8</v>
      </c>
      <c r="G34" s="13">
        <v>34199.2</v>
      </c>
      <c r="H34" s="13">
        <f aca="true" t="shared" si="9" ref="H34:J35">G34</f>
        <v>34199.2</v>
      </c>
      <c r="I34" s="13">
        <f t="shared" si="9"/>
        <v>34199.2</v>
      </c>
      <c r="J34" s="13">
        <f t="shared" si="9"/>
        <v>34199.2</v>
      </c>
      <c r="K34" s="32"/>
      <c r="L34" s="91"/>
      <c r="M34" s="92"/>
      <c r="N34" s="92"/>
      <c r="O34" s="92"/>
      <c r="P34" s="92"/>
      <c r="Q34" s="92"/>
      <c r="R34" s="92"/>
      <c r="S34" s="92"/>
      <c r="T34" s="92"/>
      <c r="V34">
        <v>-162.6</v>
      </c>
      <c r="AB34" s="41">
        <v>1323</v>
      </c>
      <c r="AD34">
        <v>788</v>
      </c>
    </row>
    <row r="35" spans="1:30" ht="48" thickBot="1">
      <c r="A35" s="63">
        <v>17</v>
      </c>
      <c r="B35" s="8" t="s">
        <v>38</v>
      </c>
      <c r="C35" s="16">
        <f>D35+E35+F35+G35+H35+I35+J35</f>
        <v>222952.40000000002</v>
      </c>
      <c r="D35" s="13">
        <v>25653.6</v>
      </c>
      <c r="E35" s="13">
        <f>27061.6+V35+AB35+AD35</f>
        <v>28969.8</v>
      </c>
      <c r="F35" s="13">
        <v>38044.6</v>
      </c>
      <c r="G35" s="13">
        <v>32571.1</v>
      </c>
      <c r="H35" s="13">
        <f t="shared" si="9"/>
        <v>32571.1</v>
      </c>
      <c r="I35" s="13">
        <f t="shared" si="9"/>
        <v>32571.1</v>
      </c>
      <c r="J35" s="13">
        <f t="shared" si="9"/>
        <v>32571.1</v>
      </c>
      <c r="K35" s="32"/>
      <c r="L35" s="91"/>
      <c r="M35" s="92"/>
      <c r="N35" s="92"/>
      <c r="O35" s="92"/>
      <c r="P35" s="92"/>
      <c r="Q35" s="92"/>
      <c r="R35" s="92"/>
      <c r="S35" s="92"/>
      <c r="T35" s="92"/>
      <c r="V35">
        <v>-154.8</v>
      </c>
      <c r="AB35" s="41">
        <v>1275</v>
      </c>
      <c r="AD35">
        <v>788</v>
      </c>
    </row>
    <row r="36" spans="1:20" ht="16.5" customHeight="1" hidden="1" thickBot="1">
      <c r="A36" s="63"/>
      <c r="B36" s="8" t="s">
        <v>16</v>
      </c>
      <c r="C36" s="16">
        <f>D36+E36+F36+G36+H36+I36+J36</f>
        <v>0</v>
      </c>
      <c r="D36" s="13"/>
      <c r="E36" s="13"/>
      <c r="F36" s="13"/>
      <c r="G36" s="13"/>
      <c r="H36" s="13"/>
      <c r="I36" s="13"/>
      <c r="J36" s="13"/>
      <c r="K36" s="32"/>
      <c r="L36" s="91"/>
      <c r="M36" s="92"/>
      <c r="N36" s="92"/>
      <c r="O36" s="92"/>
      <c r="P36" s="92"/>
      <c r="Q36" s="92"/>
      <c r="R36" s="92"/>
      <c r="S36" s="92"/>
      <c r="T36" s="92"/>
    </row>
    <row r="37" spans="1:20" ht="48" customHeight="1" hidden="1" thickBot="1">
      <c r="A37" s="63"/>
      <c r="B37" s="8" t="s">
        <v>38</v>
      </c>
      <c r="C37" s="16">
        <f>D37+E37+F37+G37+H37+I37+J37</f>
        <v>0</v>
      </c>
      <c r="D37" s="13"/>
      <c r="E37" s="13"/>
      <c r="F37" s="13"/>
      <c r="G37" s="13"/>
      <c r="H37" s="13"/>
      <c r="I37" s="13"/>
      <c r="J37" s="13"/>
      <c r="K37" s="32"/>
      <c r="L37" s="91"/>
      <c r="M37" s="92"/>
      <c r="N37" s="92"/>
      <c r="O37" s="92"/>
      <c r="P37" s="92"/>
      <c r="Q37" s="92"/>
      <c r="R37" s="92"/>
      <c r="S37" s="92"/>
      <c r="T37" s="92"/>
    </row>
    <row r="38" spans="1:20" ht="259.5" customHeight="1" thickBot="1">
      <c r="A38" s="63">
        <v>18</v>
      </c>
      <c r="B38" s="8" t="s">
        <v>46</v>
      </c>
      <c r="C38" s="16">
        <f>C39</f>
        <v>4748.400000000001</v>
      </c>
      <c r="D38" s="16">
        <f aca="true" t="shared" si="10" ref="D38:J38">D39</f>
        <v>564</v>
      </c>
      <c r="E38" s="16">
        <f t="shared" si="10"/>
        <v>747</v>
      </c>
      <c r="F38" s="16">
        <f t="shared" si="10"/>
        <v>622.2</v>
      </c>
      <c r="G38" s="16">
        <f t="shared" si="10"/>
        <v>703.8</v>
      </c>
      <c r="H38" s="16">
        <f t="shared" si="10"/>
        <v>703.8</v>
      </c>
      <c r="I38" s="16">
        <f t="shared" si="10"/>
        <v>703.8</v>
      </c>
      <c r="J38" s="16">
        <f t="shared" si="10"/>
        <v>703.8</v>
      </c>
      <c r="K38" s="32" t="s">
        <v>84</v>
      </c>
      <c r="L38" s="91"/>
      <c r="M38" s="92"/>
      <c r="N38" s="92"/>
      <c r="O38" s="92"/>
      <c r="P38" s="92"/>
      <c r="Q38" s="92"/>
      <c r="R38" s="92"/>
      <c r="S38" s="92"/>
      <c r="T38" s="92"/>
    </row>
    <row r="39" spans="1:22" ht="16.5" thickBot="1">
      <c r="A39" s="63">
        <v>19</v>
      </c>
      <c r="B39" s="8" t="s">
        <v>15</v>
      </c>
      <c r="C39" s="16">
        <f>D39+E39+F39+G39+H39+I39+J39</f>
        <v>4748.400000000001</v>
      </c>
      <c r="D39" s="13">
        <v>564</v>
      </c>
      <c r="E39" s="13">
        <f>584.4+V39</f>
        <v>747</v>
      </c>
      <c r="F39" s="13">
        <v>622.2</v>
      </c>
      <c r="G39" s="13">
        <v>703.8</v>
      </c>
      <c r="H39" s="13">
        <f aca="true" t="shared" si="11" ref="H39:J40">G39</f>
        <v>703.8</v>
      </c>
      <c r="I39" s="13">
        <f t="shared" si="11"/>
        <v>703.8</v>
      </c>
      <c r="J39" s="13">
        <f t="shared" si="11"/>
        <v>703.8</v>
      </c>
      <c r="K39" s="32"/>
      <c r="L39" s="91"/>
      <c r="M39" s="92"/>
      <c r="N39" s="92"/>
      <c r="O39" s="92"/>
      <c r="P39" s="92"/>
      <c r="Q39" s="92"/>
      <c r="R39" s="92"/>
      <c r="S39" s="92"/>
      <c r="T39" s="92"/>
      <c r="V39">
        <v>162.6</v>
      </c>
    </row>
    <row r="40" spans="1:31" ht="48" thickBot="1">
      <c r="A40" s="63">
        <v>20</v>
      </c>
      <c r="B40" s="8" t="s">
        <v>44</v>
      </c>
      <c r="C40" s="16">
        <f>D40+E40+F40+G40+H40+I40+J40</f>
        <v>4439.099999999999</v>
      </c>
      <c r="D40" s="13">
        <v>546.2</v>
      </c>
      <c r="E40" s="13">
        <f>565.7+AE40</f>
        <v>565.8000000000001</v>
      </c>
      <c r="F40" s="13">
        <v>602.3</v>
      </c>
      <c r="G40" s="13">
        <v>681.2</v>
      </c>
      <c r="H40" s="13">
        <f t="shared" si="11"/>
        <v>681.2</v>
      </c>
      <c r="I40" s="13">
        <f t="shared" si="11"/>
        <v>681.2</v>
      </c>
      <c r="J40" s="13">
        <f t="shared" si="11"/>
        <v>681.2</v>
      </c>
      <c r="K40" s="32"/>
      <c r="L40" s="91"/>
      <c r="M40" s="92"/>
      <c r="N40" s="92"/>
      <c r="O40" s="92"/>
      <c r="P40" s="92"/>
      <c r="Q40" s="92"/>
      <c r="R40" s="92"/>
      <c r="S40" s="92"/>
      <c r="T40" s="92"/>
      <c r="AE40">
        <v>0.1</v>
      </c>
    </row>
    <row r="41" spans="1:22" ht="174" thickBot="1">
      <c r="A41" s="63">
        <v>21</v>
      </c>
      <c r="B41" s="31" t="s">
        <v>47</v>
      </c>
      <c r="C41" s="16">
        <f>C42</f>
        <v>251244.99999999994</v>
      </c>
      <c r="D41" s="16">
        <f aca="true" t="shared" si="12" ref="D41:J41">D42</f>
        <v>27745.2</v>
      </c>
      <c r="E41" s="16">
        <f t="shared" si="12"/>
        <v>31465.199999999993</v>
      </c>
      <c r="F41" s="16">
        <f t="shared" si="12"/>
        <v>34159.4</v>
      </c>
      <c r="G41" s="16">
        <f t="shared" si="12"/>
        <v>39468.8</v>
      </c>
      <c r="H41" s="16">
        <f t="shared" si="12"/>
        <v>39468.8</v>
      </c>
      <c r="I41" s="16">
        <f t="shared" si="12"/>
        <v>39468.8</v>
      </c>
      <c r="J41" s="16">
        <f t="shared" si="12"/>
        <v>39468.8</v>
      </c>
      <c r="K41" s="32" t="s">
        <v>84</v>
      </c>
      <c r="L41" s="37">
        <f>L42+L43</f>
        <v>230156</v>
      </c>
      <c r="U41">
        <v>230.2</v>
      </c>
      <c r="V41" s="39">
        <v>199.7</v>
      </c>
    </row>
    <row r="42" spans="1:31" ht="16.5" thickBot="1">
      <c r="A42" s="63">
        <v>22</v>
      </c>
      <c r="B42" s="8" t="s">
        <v>16</v>
      </c>
      <c r="C42" s="16">
        <f>D42+E42+F42+G42+H42+I42+J42</f>
        <v>251244.99999999994</v>
      </c>
      <c r="D42" s="13">
        <f>D43+2364.3+U42-0.1-89.2</f>
        <v>27745.2</v>
      </c>
      <c r="E42" s="13">
        <f>35910.4+V42+W42+Z42+AA42+AB42+AC42+AD42+AE42</f>
        <v>31465.199999999993</v>
      </c>
      <c r="F42" s="13">
        <f>36548.3+AF43</f>
        <v>34159.4</v>
      </c>
      <c r="G42" s="13">
        <v>39468.8</v>
      </c>
      <c r="H42" s="13">
        <f aca="true" t="shared" si="13" ref="H42:J43">G42</f>
        <v>39468.8</v>
      </c>
      <c r="I42" s="13">
        <f t="shared" si="13"/>
        <v>39468.8</v>
      </c>
      <c r="J42" s="13">
        <f t="shared" si="13"/>
        <v>39468.8</v>
      </c>
      <c r="K42" s="32"/>
      <c r="L42" s="109">
        <f>32000</f>
        <v>32000</v>
      </c>
      <c r="M42" s="110"/>
      <c r="N42" s="110"/>
      <c r="O42" s="110"/>
      <c r="P42" s="110"/>
      <c r="Q42" s="110"/>
      <c r="R42" s="110"/>
      <c r="S42" s="110"/>
      <c r="T42" s="110"/>
      <c r="U42">
        <v>32</v>
      </c>
      <c r="V42">
        <v>199.7</v>
      </c>
      <c r="W42">
        <v>-53.1</v>
      </c>
      <c r="Y42" s="49">
        <v>0</v>
      </c>
      <c r="Z42" s="41">
        <f>-2779.7+419.9</f>
        <v>-2359.7999999999997</v>
      </c>
      <c r="AA42" s="41">
        <v>100</v>
      </c>
      <c r="AB42" s="41">
        <v>97.1</v>
      </c>
      <c r="AC42" s="41">
        <v>-400</v>
      </c>
      <c r="AD42" s="41">
        <v>-1818.4</v>
      </c>
      <c r="AE42" s="41">
        <v>-210.7</v>
      </c>
    </row>
    <row r="43" spans="1:32" ht="48" thickBot="1">
      <c r="A43" s="63">
        <v>23</v>
      </c>
      <c r="B43" s="8" t="s">
        <v>38</v>
      </c>
      <c r="C43" s="16">
        <f>D43+E43+F43+G43+H43+I43+J43</f>
        <v>233450.8</v>
      </c>
      <c r="D43" s="13">
        <f>25146.4+U43+9.5+84.1</f>
        <v>25438.2</v>
      </c>
      <c r="E43" s="13">
        <f>33609.9+V43+W43+Y43+Z43+AB43+AD43+AE43</f>
        <v>27786.2</v>
      </c>
      <c r="F43" s="13">
        <f>34395.3+AF43</f>
        <v>32006.4</v>
      </c>
      <c r="G43" s="13">
        <v>37055</v>
      </c>
      <c r="H43" s="13">
        <f t="shared" si="13"/>
        <v>37055</v>
      </c>
      <c r="I43" s="13">
        <f t="shared" si="13"/>
        <v>37055</v>
      </c>
      <c r="J43" s="13">
        <f t="shared" si="13"/>
        <v>37055</v>
      </c>
      <c r="K43" s="32"/>
      <c r="L43" s="109">
        <f>24731+173425</f>
        <v>198156</v>
      </c>
      <c r="M43" s="110"/>
      <c r="N43" s="110"/>
      <c r="O43" s="110"/>
      <c r="P43" s="110"/>
      <c r="Q43" s="110"/>
      <c r="R43" s="110"/>
      <c r="S43" s="110"/>
      <c r="T43" s="110"/>
      <c r="U43">
        <v>198.2</v>
      </c>
      <c r="V43">
        <v>190</v>
      </c>
      <c r="W43">
        <v>-53.1</v>
      </c>
      <c r="Y43" s="49">
        <v>-2937.3</v>
      </c>
      <c r="Z43" s="41">
        <v>-2779.7</v>
      </c>
      <c r="AB43" s="41">
        <v>97.1</v>
      </c>
      <c r="AD43" s="41">
        <v>-130</v>
      </c>
      <c r="AE43" s="41">
        <v>-210.7</v>
      </c>
      <c r="AF43" s="41">
        <v>-2388.9</v>
      </c>
    </row>
    <row r="44" spans="1:20" ht="15.75">
      <c r="A44" s="62">
        <v>24</v>
      </c>
      <c r="B44" s="12" t="s">
        <v>29</v>
      </c>
      <c r="C44" s="123">
        <f>C46</f>
        <v>0</v>
      </c>
      <c r="D44" s="123">
        <f aca="true" t="shared" si="14" ref="D44:J44">D46</f>
        <v>0</v>
      </c>
      <c r="E44" s="123">
        <f t="shared" si="14"/>
        <v>0</v>
      </c>
      <c r="F44" s="123">
        <f t="shared" si="14"/>
        <v>0</v>
      </c>
      <c r="G44" s="123">
        <f t="shared" si="14"/>
        <v>0</v>
      </c>
      <c r="H44" s="123">
        <f t="shared" si="14"/>
        <v>0</v>
      </c>
      <c r="I44" s="123">
        <f t="shared" si="14"/>
        <v>0</v>
      </c>
      <c r="J44" s="123">
        <f t="shared" si="14"/>
        <v>0</v>
      </c>
      <c r="K44" s="107">
        <v>7.8</v>
      </c>
      <c r="L44" s="91"/>
      <c r="M44" s="92"/>
      <c r="N44" s="92"/>
      <c r="O44" s="92"/>
      <c r="P44" s="92"/>
      <c r="Q44" s="92"/>
      <c r="R44" s="92"/>
      <c r="S44" s="92"/>
      <c r="T44" s="92"/>
    </row>
    <row r="45" spans="1:20" ht="95.25" thickBot="1">
      <c r="A45" s="63">
        <v>25</v>
      </c>
      <c r="B45" s="8" t="s">
        <v>59</v>
      </c>
      <c r="C45" s="124"/>
      <c r="D45" s="124"/>
      <c r="E45" s="124"/>
      <c r="F45" s="124"/>
      <c r="G45" s="124"/>
      <c r="H45" s="124"/>
      <c r="I45" s="124"/>
      <c r="J45" s="124"/>
      <c r="K45" s="113"/>
      <c r="L45" s="91"/>
      <c r="M45" s="92"/>
      <c r="N45" s="92"/>
      <c r="O45" s="92"/>
      <c r="P45" s="92"/>
      <c r="Q45" s="92"/>
      <c r="R45" s="92"/>
      <c r="S45" s="92"/>
      <c r="T45" s="92"/>
    </row>
    <row r="46" spans="1:20" ht="16.5" thickBot="1">
      <c r="A46" s="63">
        <v>26</v>
      </c>
      <c r="B46" s="8" t="s">
        <v>16</v>
      </c>
      <c r="C46" s="16">
        <f>D46+E46+F46+G46+H46+I46+J46</f>
        <v>0</v>
      </c>
      <c r="D46" s="13"/>
      <c r="E46" s="13"/>
      <c r="F46" s="13"/>
      <c r="G46" s="13"/>
      <c r="H46" s="13"/>
      <c r="I46" s="13"/>
      <c r="J46" s="13"/>
      <c r="K46" s="32"/>
      <c r="L46" s="91"/>
      <c r="M46" s="92"/>
      <c r="N46" s="92"/>
      <c r="O46" s="92"/>
      <c r="P46" s="92"/>
      <c r="Q46" s="92"/>
      <c r="R46" s="92"/>
      <c r="S46" s="92"/>
      <c r="T46" s="92"/>
    </row>
    <row r="47" spans="1:20" ht="48" thickBot="1">
      <c r="A47" s="63">
        <v>27</v>
      </c>
      <c r="B47" s="8" t="s">
        <v>38</v>
      </c>
      <c r="C47" s="16">
        <f>D47+E47+F47+G47+H47+I47+J47</f>
        <v>0</v>
      </c>
      <c r="D47" s="13"/>
      <c r="E47" s="13"/>
      <c r="F47" s="13"/>
      <c r="G47" s="13"/>
      <c r="H47" s="13"/>
      <c r="I47" s="13"/>
      <c r="J47" s="13"/>
      <c r="K47" s="32"/>
      <c r="L47" s="91"/>
      <c r="M47" s="92"/>
      <c r="N47" s="92"/>
      <c r="O47" s="92"/>
      <c r="P47" s="92"/>
      <c r="Q47" s="92"/>
      <c r="R47" s="92"/>
      <c r="S47" s="92"/>
      <c r="T47" s="92"/>
    </row>
    <row r="48" spans="1:20" ht="15.75">
      <c r="A48" s="94">
        <v>28</v>
      </c>
      <c r="B48" s="12" t="s">
        <v>21</v>
      </c>
      <c r="C48" s="123">
        <f>C50+C52</f>
        <v>5238.2</v>
      </c>
      <c r="D48" s="123">
        <f aca="true" t="shared" si="15" ref="D48:J48">D50+D52</f>
        <v>1572.3</v>
      </c>
      <c r="E48" s="123">
        <f t="shared" si="15"/>
        <v>598.7</v>
      </c>
      <c r="F48" s="123">
        <f t="shared" si="15"/>
        <v>3067.2</v>
      </c>
      <c r="G48" s="123">
        <f t="shared" si="15"/>
        <v>0</v>
      </c>
      <c r="H48" s="123">
        <f t="shared" si="15"/>
        <v>0</v>
      </c>
      <c r="I48" s="123">
        <f t="shared" si="15"/>
        <v>0</v>
      </c>
      <c r="J48" s="123">
        <f t="shared" si="15"/>
        <v>0</v>
      </c>
      <c r="K48" s="107" t="s">
        <v>85</v>
      </c>
      <c r="L48" s="129">
        <f>L53</f>
        <v>-324961.3600000001</v>
      </c>
      <c r="M48" s="112"/>
      <c r="N48" s="112"/>
      <c r="O48" s="112"/>
      <c r="P48" s="112"/>
      <c r="Q48" s="112"/>
      <c r="R48" s="112"/>
      <c r="S48" s="112"/>
      <c r="T48" s="112"/>
    </row>
    <row r="49" spans="1:21" ht="111.75" customHeight="1" thickBot="1">
      <c r="A49" s="95"/>
      <c r="B49" s="8" t="s">
        <v>66</v>
      </c>
      <c r="C49" s="124"/>
      <c r="D49" s="124"/>
      <c r="E49" s="124"/>
      <c r="F49" s="124"/>
      <c r="G49" s="124"/>
      <c r="H49" s="124"/>
      <c r="I49" s="124"/>
      <c r="J49" s="124"/>
      <c r="K49" s="113"/>
      <c r="L49" s="111"/>
      <c r="M49" s="112"/>
      <c r="N49" s="112"/>
      <c r="O49" s="112"/>
      <c r="P49" s="112"/>
      <c r="Q49" s="112"/>
      <c r="R49" s="112"/>
      <c r="S49" s="112"/>
      <c r="T49" s="112"/>
      <c r="U49">
        <v>-325</v>
      </c>
    </row>
    <row r="50" spans="1:20" ht="16.5" thickBot="1">
      <c r="A50" s="63">
        <v>29</v>
      </c>
      <c r="B50" s="8" t="s">
        <v>15</v>
      </c>
      <c r="C50" s="16">
        <f>D50+E50+F50+G50+H50+I50+J50</f>
        <v>0</v>
      </c>
      <c r="D50" s="13"/>
      <c r="E50" s="13"/>
      <c r="F50" s="13"/>
      <c r="G50" s="13"/>
      <c r="H50" s="13"/>
      <c r="I50" s="13"/>
      <c r="J50" s="13"/>
      <c r="K50" s="32"/>
      <c r="L50" s="91"/>
      <c r="M50" s="92"/>
      <c r="N50" s="92"/>
      <c r="O50" s="92"/>
      <c r="P50" s="92"/>
      <c r="Q50" s="92"/>
      <c r="R50" s="92"/>
      <c r="S50" s="92"/>
      <c r="T50" s="92"/>
    </row>
    <row r="51" spans="1:20" ht="48" thickBot="1">
      <c r="A51" s="63">
        <v>30</v>
      </c>
      <c r="B51" s="8" t="s">
        <v>38</v>
      </c>
      <c r="C51" s="16">
        <f>D51+E51+F51+G51+H51+I51+J51</f>
        <v>0</v>
      </c>
      <c r="D51" s="13"/>
      <c r="E51" s="13"/>
      <c r="F51" s="13"/>
      <c r="G51" s="13"/>
      <c r="H51" s="13"/>
      <c r="I51" s="13"/>
      <c r="J51" s="13"/>
      <c r="K51" s="32"/>
      <c r="L51" s="91"/>
      <c r="M51" s="92"/>
      <c r="N51" s="92"/>
      <c r="O51" s="92"/>
      <c r="P51" s="92"/>
      <c r="Q51" s="92"/>
      <c r="R51" s="92"/>
      <c r="S51" s="92"/>
      <c r="T51" s="92"/>
    </row>
    <row r="52" spans="1:29" ht="16.5" thickBot="1">
      <c r="A52" s="63">
        <v>31</v>
      </c>
      <c r="B52" s="8" t="s">
        <v>16</v>
      </c>
      <c r="C52" s="16">
        <f>D52+E52+F52+G52+H52+I52+J52</f>
        <v>5238.2</v>
      </c>
      <c r="D52" s="13">
        <f>D53</f>
        <v>1572.3</v>
      </c>
      <c r="E52" s="13">
        <f>W52+Z52+AC52</f>
        <v>598.7</v>
      </c>
      <c r="F52" s="13">
        <v>3067.2</v>
      </c>
      <c r="G52" s="13">
        <v>0</v>
      </c>
      <c r="H52" s="13">
        <f>H53</f>
        <v>0</v>
      </c>
      <c r="I52" s="13">
        <f>I53</f>
        <v>0</v>
      </c>
      <c r="J52" s="13">
        <f>J53</f>
        <v>0</v>
      </c>
      <c r="K52" s="32"/>
      <c r="L52" s="109">
        <v>-324961.36</v>
      </c>
      <c r="M52" s="110"/>
      <c r="N52" s="110"/>
      <c r="O52" s="110"/>
      <c r="P52" s="110"/>
      <c r="Q52" s="110"/>
      <c r="R52" s="110"/>
      <c r="S52" s="110"/>
      <c r="T52" s="110"/>
      <c r="U52">
        <v>-325</v>
      </c>
      <c r="W52">
        <v>53.1</v>
      </c>
      <c r="Z52" s="41">
        <v>145.6</v>
      </c>
      <c r="AC52">
        <v>400</v>
      </c>
    </row>
    <row r="53" spans="1:29" ht="48" thickBot="1">
      <c r="A53" s="63">
        <v>32</v>
      </c>
      <c r="B53" s="8" t="s">
        <v>38</v>
      </c>
      <c r="C53" s="16">
        <f>D53+E53+F53+G53+H53+I53+J53</f>
        <v>5238.2</v>
      </c>
      <c r="D53" s="13">
        <f>2300+U53+53.6-456.3</f>
        <v>1572.3</v>
      </c>
      <c r="E53" s="13">
        <f>W53+Z53+AC53</f>
        <v>598.7</v>
      </c>
      <c r="F53" s="13">
        <v>3067.2</v>
      </c>
      <c r="G53" s="13">
        <v>0</v>
      </c>
      <c r="H53" s="13">
        <v>0</v>
      </c>
      <c r="I53" s="13">
        <v>0</v>
      </c>
      <c r="J53" s="13">
        <v>0</v>
      </c>
      <c r="K53" s="32"/>
      <c r="L53" s="127">
        <f>-2300000+1447638.64+527400</f>
        <v>-324961.3600000001</v>
      </c>
      <c r="M53" s="128"/>
      <c r="N53" s="128"/>
      <c r="O53" s="128"/>
      <c r="P53" s="128"/>
      <c r="Q53" s="128"/>
      <c r="R53" s="128"/>
      <c r="S53" s="128"/>
      <c r="T53" s="128"/>
      <c r="U53" s="38">
        <v>-325</v>
      </c>
      <c r="W53">
        <v>53.1</v>
      </c>
      <c r="Z53" s="41">
        <v>145.6</v>
      </c>
      <c r="AC53">
        <v>400</v>
      </c>
    </row>
    <row r="54" spans="1:20" ht="16.5" customHeight="1" thickBot="1">
      <c r="A54" s="94"/>
      <c r="B54" s="27" t="s">
        <v>43</v>
      </c>
      <c r="C54" s="85">
        <f>C56+C58</f>
        <v>0</v>
      </c>
      <c r="D54" s="85">
        <f aca="true" t="shared" si="16" ref="D54:J54">D56+D58</f>
        <v>0</v>
      </c>
      <c r="E54" s="85">
        <f t="shared" si="16"/>
        <v>0</v>
      </c>
      <c r="F54" s="85">
        <f t="shared" si="16"/>
        <v>0</v>
      </c>
      <c r="G54" s="85">
        <f t="shared" si="16"/>
        <v>0</v>
      </c>
      <c r="H54" s="85">
        <f t="shared" si="16"/>
        <v>0</v>
      </c>
      <c r="I54" s="85">
        <f t="shared" si="16"/>
        <v>0</v>
      </c>
      <c r="J54" s="85">
        <f t="shared" si="16"/>
        <v>0</v>
      </c>
      <c r="K54" s="40">
        <v>12.13</v>
      </c>
      <c r="L54" s="91"/>
      <c r="M54" s="92"/>
      <c r="N54" s="92"/>
      <c r="O54" s="92"/>
      <c r="P54" s="92"/>
      <c r="Q54" s="92"/>
      <c r="R54" s="92"/>
      <c r="S54" s="92"/>
      <c r="T54" s="92"/>
    </row>
    <row r="55" spans="1:20" ht="118.5" customHeight="1" thickBot="1">
      <c r="A55" s="95"/>
      <c r="B55" s="21" t="s">
        <v>60</v>
      </c>
      <c r="C55" s="86"/>
      <c r="D55" s="86"/>
      <c r="E55" s="86"/>
      <c r="F55" s="86"/>
      <c r="G55" s="86"/>
      <c r="H55" s="86"/>
      <c r="I55" s="86"/>
      <c r="J55" s="86"/>
      <c r="K55" s="40"/>
      <c r="L55" s="91"/>
      <c r="M55" s="92"/>
      <c r="N55" s="92"/>
      <c r="O55" s="92"/>
      <c r="P55" s="92"/>
      <c r="Q55" s="92"/>
      <c r="R55" s="92"/>
      <c r="S55" s="92"/>
      <c r="T55" s="92"/>
    </row>
    <row r="56" spans="1:20" ht="16.5" customHeight="1" thickBot="1">
      <c r="A56" s="63"/>
      <c r="B56" s="21" t="s">
        <v>15</v>
      </c>
      <c r="C56" s="25">
        <f>D56+E56+F56+G56+H56+I56+J56</f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40"/>
      <c r="L56" s="91"/>
      <c r="M56" s="92"/>
      <c r="N56" s="92"/>
      <c r="O56" s="92"/>
      <c r="P56" s="92"/>
      <c r="Q56" s="92"/>
      <c r="R56" s="92"/>
      <c r="S56" s="92"/>
      <c r="T56" s="92"/>
    </row>
    <row r="57" spans="1:20" ht="48" customHeight="1" thickBot="1">
      <c r="A57" s="63"/>
      <c r="B57" s="21" t="s">
        <v>38</v>
      </c>
      <c r="C57" s="25">
        <f>D57+E57+F57+G57+H57+I57+J57</f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40"/>
      <c r="L57" s="91"/>
      <c r="M57" s="92"/>
      <c r="N57" s="92"/>
      <c r="O57" s="92"/>
      <c r="P57" s="92"/>
      <c r="Q57" s="92"/>
      <c r="R57" s="92"/>
      <c r="S57" s="92"/>
      <c r="T57" s="92"/>
    </row>
    <row r="58" spans="1:20" ht="16.5" customHeight="1" thickBot="1">
      <c r="A58" s="63"/>
      <c r="B58" s="21" t="s">
        <v>16</v>
      </c>
      <c r="C58" s="25">
        <f>D58+E58+F58+G58+H58+I58+J58</f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40"/>
      <c r="L58" s="91"/>
      <c r="M58" s="92"/>
      <c r="N58" s="92"/>
      <c r="O58" s="92"/>
      <c r="P58" s="92"/>
      <c r="Q58" s="92"/>
      <c r="R58" s="92"/>
      <c r="S58" s="92"/>
      <c r="T58" s="92"/>
    </row>
    <row r="59" spans="1:20" ht="48" customHeight="1" thickBot="1">
      <c r="A59" s="63"/>
      <c r="B59" s="21" t="s">
        <v>38</v>
      </c>
      <c r="C59" s="25">
        <f>D59+E59+F59+G59+H59+I59+J59</f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6"/>
      <c r="L59" s="91"/>
      <c r="M59" s="92"/>
      <c r="N59" s="92"/>
      <c r="O59" s="92"/>
      <c r="P59" s="92"/>
      <c r="Q59" s="92"/>
      <c r="R59" s="92"/>
      <c r="S59" s="92"/>
      <c r="T59" s="92"/>
    </row>
    <row r="60" spans="1:20" ht="111" thickBot="1">
      <c r="A60" s="63">
        <v>33</v>
      </c>
      <c r="B60" s="31" t="s">
        <v>107</v>
      </c>
      <c r="C60" s="16">
        <f>C61+C63</f>
        <v>69</v>
      </c>
      <c r="D60" s="16">
        <f aca="true" t="shared" si="17" ref="D60:J60">D61+D63</f>
        <v>0</v>
      </c>
      <c r="E60" s="16">
        <f t="shared" si="17"/>
        <v>0</v>
      </c>
      <c r="F60" s="16">
        <f t="shared" si="17"/>
        <v>69</v>
      </c>
      <c r="G60" s="16">
        <f t="shared" si="17"/>
        <v>0</v>
      </c>
      <c r="H60" s="16">
        <f t="shared" si="17"/>
        <v>0</v>
      </c>
      <c r="I60" s="16">
        <f t="shared" si="17"/>
        <v>0</v>
      </c>
      <c r="J60" s="16">
        <f t="shared" si="17"/>
        <v>0</v>
      </c>
      <c r="K60" s="10">
        <v>12.13</v>
      </c>
      <c r="L60" s="91"/>
      <c r="M60" s="92"/>
      <c r="N60" s="92"/>
      <c r="O60" s="92"/>
      <c r="P60" s="92"/>
      <c r="Q60" s="92"/>
      <c r="R60" s="92"/>
      <c r="S60" s="92"/>
      <c r="T60" s="92"/>
    </row>
    <row r="61" spans="1:20" ht="16.5" thickBot="1">
      <c r="A61" s="63">
        <v>34</v>
      </c>
      <c r="B61" s="8" t="s">
        <v>15</v>
      </c>
      <c r="C61" s="16">
        <f>D61+E61+F61+G61+H61+I61+J61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0"/>
      <c r="L61" s="91"/>
      <c r="M61" s="92"/>
      <c r="N61" s="92"/>
      <c r="O61" s="92"/>
      <c r="P61" s="92"/>
      <c r="Q61" s="92"/>
      <c r="R61" s="92"/>
      <c r="S61" s="92"/>
      <c r="T61" s="92"/>
    </row>
    <row r="62" spans="1:20" ht="48" thickBot="1">
      <c r="A62" s="63">
        <v>35</v>
      </c>
      <c r="B62" s="8" t="s">
        <v>38</v>
      </c>
      <c r="C62" s="16">
        <f>D62+E62+F62+G62+H62+I62+J62</f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0"/>
      <c r="L62" s="91"/>
      <c r="M62" s="92"/>
      <c r="N62" s="92"/>
      <c r="O62" s="92"/>
      <c r="P62" s="92"/>
      <c r="Q62" s="92"/>
      <c r="R62" s="92"/>
      <c r="S62" s="92"/>
      <c r="T62" s="92"/>
    </row>
    <row r="63" spans="1:20" ht="16.5" thickBot="1">
      <c r="A63" s="63">
        <v>36</v>
      </c>
      <c r="B63" s="8" t="s">
        <v>16</v>
      </c>
      <c r="C63" s="16">
        <f>D63+E63+F63+G63+H63+I63+J63</f>
        <v>69</v>
      </c>
      <c r="D63" s="13">
        <v>0</v>
      </c>
      <c r="E63" s="13">
        <v>0</v>
      </c>
      <c r="F63" s="13">
        <v>69</v>
      </c>
      <c r="G63" s="13">
        <v>0</v>
      </c>
      <c r="H63" s="13">
        <v>0</v>
      </c>
      <c r="I63" s="13">
        <v>0</v>
      </c>
      <c r="J63" s="13">
        <v>0</v>
      </c>
      <c r="K63" s="10"/>
      <c r="L63" s="91"/>
      <c r="M63" s="92"/>
      <c r="N63" s="92"/>
      <c r="O63" s="92"/>
      <c r="P63" s="92"/>
      <c r="Q63" s="92"/>
      <c r="R63" s="92"/>
      <c r="S63" s="92"/>
      <c r="T63" s="92"/>
    </row>
    <row r="64" spans="1:20" ht="48" thickBot="1">
      <c r="A64" s="63">
        <v>37</v>
      </c>
      <c r="B64" s="8" t="s">
        <v>38</v>
      </c>
      <c r="C64" s="16">
        <f>D64+E64+F64+G64+H64+I64+J64</f>
        <v>69</v>
      </c>
      <c r="D64" s="13">
        <v>0</v>
      </c>
      <c r="E64" s="13">
        <v>0</v>
      </c>
      <c r="F64" s="13">
        <v>69</v>
      </c>
      <c r="G64" s="13">
        <v>0</v>
      </c>
      <c r="H64" s="13">
        <v>0</v>
      </c>
      <c r="I64" s="13">
        <v>0</v>
      </c>
      <c r="J64" s="13">
        <v>0</v>
      </c>
      <c r="K64" s="10"/>
      <c r="L64" s="91"/>
      <c r="M64" s="92"/>
      <c r="N64" s="92"/>
      <c r="O64" s="92"/>
      <c r="P64" s="92"/>
      <c r="Q64" s="92"/>
      <c r="R64" s="92"/>
      <c r="S64" s="92"/>
      <c r="T64" s="92"/>
    </row>
    <row r="65" spans="1:25" s="41" customFormat="1" ht="15.75" customHeight="1">
      <c r="A65" s="83">
        <v>107</v>
      </c>
      <c r="B65" s="27" t="s">
        <v>26</v>
      </c>
      <c r="C65" s="85">
        <f aca="true" t="shared" si="18" ref="C65:J65">C69+C71+C67</f>
        <v>218</v>
      </c>
      <c r="D65" s="85">
        <f t="shared" si="18"/>
        <v>0</v>
      </c>
      <c r="E65" s="85">
        <f t="shared" si="18"/>
        <v>0</v>
      </c>
      <c r="F65" s="85">
        <f t="shared" si="18"/>
        <v>218</v>
      </c>
      <c r="G65" s="85">
        <f t="shared" si="18"/>
        <v>0</v>
      </c>
      <c r="H65" s="85">
        <f t="shared" si="18"/>
        <v>0</v>
      </c>
      <c r="I65" s="85">
        <f t="shared" si="18"/>
        <v>0</v>
      </c>
      <c r="J65" s="85">
        <f t="shared" si="18"/>
        <v>0</v>
      </c>
      <c r="K65" s="89"/>
      <c r="L65" s="87">
        <f>L69+L70+L71+L72</f>
        <v>5567</v>
      </c>
      <c r="M65" s="88"/>
      <c r="N65" s="88"/>
      <c r="O65" s="88"/>
      <c r="P65" s="88"/>
      <c r="Q65" s="88"/>
      <c r="R65" s="88"/>
      <c r="S65" s="88"/>
      <c r="T65" s="88"/>
      <c r="Y65" s="49"/>
    </row>
    <row r="66" spans="1:25" s="41" customFormat="1" ht="96.75" customHeight="1" thickBot="1">
      <c r="A66" s="84"/>
      <c r="B66" s="21" t="s">
        <v>106</v>
      </c>
      <c r="C66" s="86"/>
      <c r="D66" s="86"/>
      <c r="E66" s="86"/>
      <c r="F66" s="86"/>
      <c r="G66" s="86"/>
      <c r="H66" s="86"/>
      <c r="I66" s="86"/>
      <c r="J66" s="86"/>
      <c r="K66" s="90"/>
      <c r="L66" s="87"/>
      <c r="M66" s="88"/>
      <c r="N66" s="88"/>
      <c r="O66" s="88"/>
      <c r="P66" s="88"/>
      <c r="Q66" s="88"/>
      <c r="R66" s="88"/>
      <c r="S66" s="88"/>
      <c r="T66" s="88"/>
      <c r="U66" s="41">
        <v>5.6</v>
      </c>
      <c r="Y66" s="49"/>
    </row>
    <row r="67" spans="1:28" s="41" customFormat="1" ht="16.5" thickBot="1">
      <c r="A67" s="64">
        <v>108</v>
      </c>
      <c r="B67" s="21" t="s">
        <v>98</v>
      </c>
      <c r="C67" s="25">
        <f aca="true" t="shared" si="19" ref="C67:C72">D67+E67+F67+G67+H67+I67+J67</f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40"/>
      <c r="L67" s="81">
        <f>-18108</f>
        <v>-18108</v>
      </c>
      <c r="M67" s="82"/>
      <c r="N67" s="82"/>
      <c r="O67" s="82"/>
      <c r="P67" s="82"/>
      <c r="Q67" s="82"/>
      <c r="R67" s="82"/>
      <c r="S67" s="82"/>
      <c r="T67" s="82"/>
      <c r="U67" s="42">
        <v>-18.1</v>
      </c>
      <c r="Y67" s="49"/>
      <c r="AB67" s="41">
        <v>698</v>
      </c>
    </row>
    <row r="68" spans="1:28" s="41" customFormat="1" ht="48" thickBot="1">
      <c r="A68" s="64">
        <v>109</v>
      </c>
      <c r="B68" s="21" t="s">
        <v>44</v>
      </c>
      <c r="C68" s="25">
        <f t="shared" si="19"/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40"/>
      <c r="L68" s="81">
        <f>18108</f>
        <v>18108</v>
      </c>
      <c r="M68" s="82"/>
      <c r="N68" s="82"/>
      <c r="O68" s="82"/>
      <c r="P68" s="82"/>
      <c r="Q68" s="82"/>
      <c r="R68" s="82"/>
      <c r="S68" s="82"/>
      <c r="T68" s="82"/>
      <c r="U68" s="42">
        <v>18.1</v>
      </c>
      <c r="Y68" s="49"/>
      <c r="AB68" s="41">
        <v>698</v>
      </c>
    </row>
    <row r="69" spans="1:28" s="41" customFormat="1" ht="16.5" thickBot="1">
      <c r="A69" s="64">
        <v>110</v>
      </c>
      <c r="B69" s="21" t="s">
        <v>15</v>
      </c>
      <c r="C69" s="25">
        <f t="shared" si="19"/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40"/>
      <c r="L69" s="81">
        <f>-18108</f>
        <v>-18108</v>
      </c>
      <c r="M69" s="82"/>
      <c r="N69" s="82"/>
      <c r="O69" s="82"/>
      <c r="P69" s="82"/>
      <c r="Q69" s="82"/>
      <c r="R69" s="82"/>
      <c r="S69" s="82"/>
      <c r="T69" s="82"/>
      <c r="U69" s="42">
        <v>-18.1</v>
      </c>
      <c r="Y69" s="49"/>
      <c r="AB69" s="41">
        <v>299.2</v>
      </c>
    </row>
    <row r="70" spans="1:28" s="41" customFormat="1" ht="48" thickBot="1">
      <c r="A70" s="64">
        <v>111</v>
      </c>
      <c r="B70" s="21" t="s">
        <v>44</v>
      </c>
      <c r="C70" s="25">
        <f t="shared" si="19"/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40"/>
      <c r="L70" s="81">
        <f>18108</f>
        <v>18108</v>
      </c>
      <c r="M70" s="82"/>
      <c r="N70" s="82"/>
      <c r="O70" s="82"/>
      <c r="P70" s="82"/>
      <c r="Q70" s="82"/>
      <c r="R70" s="82"/>
      <c r="S70" s="82"/>
      <c r="T70" s="82"/>
      <c r="U70" s="42">
        <v>18.1</v>
      </c>
      <c r="Y70" s="49"/>
      <c r="AB70" s="41">
        <v>299.2</v>
      </c>
    </row>
    <row r="71" spans="1:25" s="41" customFormat="1" ht="21" customHeight="1" thickBot="1">
      <c r="A71" s="64">
        <v>112</v>
      </c>
      <c r="B71" s="21" t="s">
        <v>16</v>
      </c>
      <c r="C71" s="25">
        <f t="shared" si="19"/>
        <v>218</v>
      </c>
      <c r="D71" s="24">
        <v>0</v>
      </c>
      <c r="E71" s="24">
        <v>0</v>
      </c>
      <c r="F71" s="24">
        <v>218</v>
      </c>
      <c r="G71" s="24">
        <v>0</v>
      </c>
      <c r="H71" s="24">
        <v>0</v>
      </c>
      <c r="I71" s="24">
        <f>H71</f>
        <v>0</v>
      </c>
      <c r="J71" s="24">
        <f>I71</f>
        <v>0</v>
      </c>
      <c r="K71" s="40"/>
      <c r="L71" s="81">
        <f>-16541+4000</f>
        <v>-12541</v>
      </c>
      <c r="M71" s="82"/>
      <c r="N71" s="82"/>
      <c r="O71" s="82"/>
      <c r="P71" s="82"/>
      <c r="Q71" s="82"/>
      <c r="R71" s="82"/>
      <c r="S71" s="82"/>
      <c r="T71" s="82"/>
      <c r="U71" s="41">
        <v>-12.5</v>
      </c>
      <c r="Y71" s="49">
        <v>90.7</v>
      </c>
    </row>
    <row r="72" spans="1:25" s="41" customFormat="1" ht="48" thickBot="1">
      <c r="A72" s="64">
        <v>113</v>
      </c>
      <c r="B72" s="21" t="s">
        <v>44</v>
      </c>
      <c r="C72" s="25">
        <f t="shared" si="19"/>
        <v>218</v>
      </c>
      <c r="D72" s="24">
        <v>0</v>
      </c>
      <c r="E72" s="24">
        <v>0</v>
      </c>
      <c r="F72" s="24">
        <v>218</v>
      </c>
      <c r="G72" s="24">
        <v>0</v>
      </c>
      <c r="H72" s="24">
        <v>0</v>
      </c>
      <c r="I72" s="24">
        <f>H72</f>
        <v>0</v>
      </c>
      <c r="J72" s="24">
        <f>I72</f>
        <v>0</v>
      </c>
      <c r="K72" s="40"/>
      <c r="L72" s="81">
        <f>18108</f>
        <v>18108</v>
      </c>
      <c r="M72" s="82"/>
      <c r="N72" s="82"/>
      <c r="O72" s="82"/>
      <c r="P72" s="82"/>
      <c r="Q72" s="82"/>
      <c r="R72" s="82"/>
      <c r="S72" s="82"/>
      <c r="T72" s="82"/>
      <c r="U72" s="41">
        <v>18.1</v>
      </c>
      <c r="Y72" s="49">
        <v>90.7</v>
      </c>
    </row>
    <row r="73" spans="1:28" ht="31.5" customHeight="1" thickBot="1">
      <c r="A73" s="11">
        <v>38</v>
      </c>
      <c r="B73" s="120" t="s">
        <v>22</v>
      </c>
      <c r="C73" s="121"/>
      <c r="D73" s="121"/>
      <c r="E73" s="121"/>
      <c r="F73" s="121"/>
      <c r="G73" s="121"/>
      <c r="H73" s="121"/>
      <c r="I73" s="121"/>
      <c r="J73" s="121"/>
      <c r="K73" s="122"/>
      <c r="L73" s="91"/>
      <c r="M73" s="92"/>
      <c r="N73" s="92"/>
      <c r="O73" s="92"/>
      <c r="P73" s="92"/>
      <c r="Q73" s="92"/>
      <c r="R73" s="92"/>
      <c r="S73" s="92"/>
      <c r="T73" s="92"/>
      <c r="AB73" s="41">
        <f>AB87+AB95+AB98+AB106+AB111+AB132+AB158</f>
        <v>-2224.1</v>
      </c>
    </row>
    <row r="74" spans="1:21" ht="48" thickBot="1">
      <c r="A74" s="63">
        <v>39</v>
      </c>
      <c r="B74" s="8" t="s">
        <v>20</v>
      </c>
      <c r="C74" s="18">
        <f>C79+C81+0.1+C77</f>
        <v>1240749.5</v>
      </c>
      <c r="D74" s="18">
        <f>D79+D81+0.1</f>
        <v>166098.6</v>
      </c>
      <c r="E74" s="18">
        <f aca="true" t="shared" si="20" ref="E74:J74">E79+E81+E77</f>
        <v>169098.9</v>
      </c>
      <c r="F74" s="18">
        <f>F79+F81+F77</f>
        <v>175623.2</v>
      </c>
      <c r="G74" s="18">
        <f t="shared" si="20"/>
        <v>182482.2</v>
      </c>
      <c r="H74" s="18">
        <f t="shared" si="20"/>
        <v>182482.2</v>
      </c>
      <c r="I74" s="18">
        <f t="shared" si="20"/>
        <v>182482.2</v>
      </c>
      <c r="J74" s="18">
        <f t="shared" si="20"/>
        <v>182482.2</v>
      </c>
      <c r="K74" s="32"/>
      <c r="L74" s="91">
        <f>L86+L91+L94+L97+L105+L128+L134</f>
        <v>622205.3600000001</v>
      </c>
      <c r="M74" s="92"/>
      <c r="N74" s="92"/>
      <c r="O74" s="92"/>
      <c r="P74" s="92"/>
      <c r="Q74" s="92"/>
      <c r="R74" s="92"/>
      <c r="S74" s="92"/>
      <c r="T74" s="92"/>
      <c r="U74">
        <f>U86+U91+U94+U105+U135+U129</f>
        <v>622.2</v>
      </c>
    </row>
    <row r="75" spans="1:20" ht="16.5" customHeight="1" hidden="1" thickBot="1">
      <c r="A75" s="63"/>
      <c r="B75" s="8" t="s">
        <v>39</v>
      </c>
      <c r="C75" s="18"/>
      <c r="D75" s="19"/>
      <c r="E75" s="19"/>
      <c r="F75" s="19"/>
      <c r="G75" s="19"/>
      <c r="H75" s="19"/>
      <c r="I75" s="19"/>
      <c r="J75" s="19"/>
      <c r="K75" s="32"/>
      <c r="L75" s="91"/>
      <c r="M75" s="92"/>
      <c r="N75" s="92"/>
      <c r="O75" s="92"/>
      <c r="P75" s="92"/>
      <c r="Q75" s="92"/>
      <c r="R75" s="92"/>
      <c r="S75" s="92"/>
      <c r="T75" s="92"/>
    </row>
    <row r="76" spans="1:20" ht="48" customHeight="1" hidden="1" thickBot="1">
      <c r="A76" s="63"/>
      <c r="B76" s="8" t="s">
        <v>38</v>
      </c>
      <c r="C76" s="18"/>
      <c r="D76" s="19"/>
      <c r="E76" s="19"/>
      <c r="F76" s="19"/>
      <c r="G76" s="19"/>
      <c r="H76" s="19"/>
      <c r="I76" s="19"/>
      <c r="J76" s="19"/>
      <c r="K76" s="32"/>
      <c r="L76" s="91"/>
      <c r="M76" s="92"/>
      <c r="N76" s="92"/>
      <c r="O76" s="92"/>
      <c r="P76" s="92"/>
      <c r="Q76" s="92"/>
      <c r="R76" s="92"/>
      <c r="S76" s="92"/>
      <c r="T76" s="92"/>
    </row>
    <row r="77" spans="1:20" ht="16.5" thickBot="1">
      <c r="A77" s="63">
        <v>40</v>
      </c>
      <c r="B77" s="8" t="s">
        <v>98</v>
      </c>
      <c r="C77" s="18">
        <f>D77+E77+F77+G77+H77+I77+J77</f>
        <v>1243.4</v>
      </c>
      <c r="D77" s="19">
        <f>D152</f>
        <v>0</v>
      </c>
      <c r="E77" s="19">
        <f>E154+E162</f>
        <v>1243.4</v>
      </c>
      <c r="F77" s="19">
        <f aca="true" t="shared" si="21" ref="F77:J78">F154</f>
        <v>0</v>
      </c>
      <c r="G77" s="19">
        <f t="shared" si="21"/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32"/>
      <c r="L77" s="91"/>
      <c r="M77" s="92"/>
      <c r="N77" s="92"/>
      <c r="O77" s="92"/>
      <c r="P77" s="92"/>
      <c r="Q77" s="92"/>
      <c r="R77" s="92"/>
      <c r="S77" s="92"/>
      <c r="T77" s="92"/>
    </row>
    <row r="78" spans="1:20" ht="48" thickBot="1">
      <c r="A78" s="63">
        <v>41</v>
      </c>
      <c r="B78" s="8" t="s">
        <v>44</v>
      </c>
      <c r="C78" s="16">
        <f>D78+E78+F78+G78+H78+I78+J78</f>
        <v>698</v>
      </c>
      <c r="D78" s="19">
        <f>D155</f>
        <v>0</v>
      </c>
      <c r="E78" s="19">
        <f>E155+E163</f>
        <v>698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32"/>
      <c r="L78" s="91"/>
      <c r="M78" s="92"/>
      <c r="N78" s="92"/>
      <c r="O78" s="92"/>
      <c r="P78" s="92"/>
      <c r="Q78" s="92"/>
      <c r="R78" s="92"/>
      <c r="S78" s="92"/>
      <c r="T78" s="92"/>
    </row>
    <row r="79" spans="1:20" ht="16.5" thickBot="1">
      <c r="A79" s="63">
        <v>42</v>
      </c>
      <c r="B79" s="8" t="s">
        <v>15</v>
      </c>
      <c r="C79" s="18">
        <f>D79+E79+F79+G79+H79+I79+J79</f>
        <v>751862.8</v>
      </c>
      <c r="D79" s="19">
        <f aca="true" t="shared" si="22" ref="D79:J80">D87+D92+D98+D103+D124+D142+D147</f>
        <v>95863</v>
      </c>
      <c r="E79" s="19">
        <f>E87+E92+E98+E103+E124+E142+E147+E156+E164</f>
        <v>100292.8</v>
      </c>
      <c r="F79" s="19">
        <f t="shared" si="22"/>
        <v>114751</v>
      </c>
      <c r="G79" s="19">
        <f t="shared" si="22"/>
        <v>110239</v>
      </c>
      <c r="H79" s="19">
        <f t="shared" si="22"/>
        <v>110239</v>
      </c>
      <c r="I79" s="19">
        <f t="shared" si="22"/>
        <v>110239</v>
      </c>
      <c r="J79" s="19">
        <f t="shared" si="22"/>
        <v>110239</v>
      </c>
      <c r="K79" s="32"/>
      <c r="L79" s="91"/>
      <c r="M79" s="92"/>
      <c r="N79" s="92"/>
      <c r="O79" s="92"/>
      <c r="P79" s="92"/>
      <c r="Q79" s="92"/>
      <c r="R79" s="92"/>
      <c r="S79" s="92"/>
      <c r="T79" s="92"/>
    </row>
    <row r="80" spans="1:20" ht="48" thickBot="1">
      <c r="A80" s="63">
        <v>43</v>
      </c>
      <c r="B80" s="8" t="s">
        <v>44</v>
      </c>
      <c r="C80" s="16">
        <f aca="true" t="shared" si="23" ref="C80:C85">D80+E80+F80+G80+H80+I80+J80</f>
        <v>309905.89999999997</v>
      </c>
      <c r="D80" s="19">
        <f t="shared" si="22"/>
        <v>38460.90000000001</v>
      </c>
      <c r="E80" s="19">
        <f>E88+E93+E99+E104+E125+E143+E148+E165</f>
        <v>40874.1</v>
      </c>
      <c r="F80" s="19">
        <f t="shared" si="22"/>
        <v>46676.5</v>
      </c>
      <c r="G80" s="19">
        <f t="shared" si="22"/>
        <v>45973.6</v>
      </c>
      <c r="H80" s="19">
        <f t="shared" si="22"/>
        <v>45973.6</v>
      </c>
      <c r="I80" s="19">
        <f t="shared" si="22"/>
        <v>45973.6</v>
      </c>
      <c r="J80" s="19">
        <f t="shared" si="22"/>
        <v>45973.6</v>
      </c>
      <c r="K80" s="32"/>
      <c r="L80" s="91"/>
      <c r="M80" s="92"/>
      <c r="N80" s="92"/>
      <c r="O80" s="92"/>
      <c r="P80" s="92"/>
      <c r="Q80" s="92"/>
      <c r="R80" s="92"/>
      <c r="S80" s="92"/>
      <c r="T80" s="92"/>
    </row>
    <row r="81" spans="1:20" ht="16.5" thickBot="1">
      <c r="A81" s="63">
        <v>44</v>
      </c>
      <c r="B81" s="8" t="s">
        <v>16</v>
      </c>
      <c r="C81" s="18">
        <f t="shared" si="23"/>
        <v>487643.20000000007</v>
      </c>
      <c r="D81" s="44">
        <f aca="true" t="shared" si="24" ref="D81:J81">D95+D101+D116+D120+D126+D144+D149</f>
        <v>70235.5</v>
      </c>
      <c r="E81" s="19">
        <f>E95+E101+E116+E120+E126+E144+E149+E158+E166</f>
        <v>67562.7</v>
      </c>
      <c r="F81" s="19">
        <f>F95+F101+F116+F120+F126+F144+F149+F158</f>
        <v>60872.2</v>
      </c>
      <c r="G81" s="19">
        <f t="shared" si="24"/>
        <v>72243.20000000001</v>
      </c>
      <c r="H81" s="19">
        <f t="shared" si="24"/>
        <v>72243.20000000001</v>
      </c>
      <c r="I81" s="19">
        <f t="shared" si="24"/>
        <v>72243.20000000001</v>
      </c>
      <c r="J81" s="19">
        <f t="shared" si="24"/>
        <v>72243.20000000001</v>
      </c>
      <c r="K81" s="32"/>
      <c r="L81" s="91"/>
      <c r="M81" s="92"/>
      <c r="N81" s="92"/>
      <c r="O81" s="92"/>
      <c r="P81" s="92"/>
      <c r="Q81" s="92"/>
      <c r="R81" s="92"/>
      <c r="S81" s="92"/>
      <c r="T81" s="92"/>
    </row>
    <row r="82" spans="1:20" ht="16.5" customHeight="1" hidden="1" thickBot="1">
      <c r="A82" s="63"/>
      <c r="B82" s="8" t="s">
        <v>17</v>
      </c>
      <c r="C82" s="18">
        <f t="shared" si="23"/>
        <v>0</v>
      </c>
      <c r="D82" s="44"/>
      <c r="E82" s="19"/>
      <c r="F82" s="19"/>
      <c r="G82" s="19"/>
      <c r="H82" s="19"/>
      <c r="I82" s="19"/>
      <c r="J82" s="19"/>
      <c r="K82" s="32"/>
      <c r="L82" s="91"/>
      <c r="M82" s="92"/>
      <c r="N82" s="92"/>
      <c r="O82" s="92"/>
      <c r="P82" s="92"/>
      <c r="Q82" s="92"/>
      <c r="R82" s="92"/>
      <c r="S82" s="92"/>
      <c r="T82" s="92"/>
    </row>
    <row r="83" spans="1:20" ht="16.5" customHeight="1" hidden="1" thickBot="1">
      <c r="A83" s="63"/>
      <c r="B83" s="8" t="s">
        <v>23</v>
      </c>
      <c r="C83" s="18">
        <f t="shared" si="23"/>
        <v>0</v>
      </c>
      <c r="D83" s="44"/>
      <c r="E83" s="19"/>
      <c r="F83" s="19"/>
      <c r="G83" s="19"/>
      <c r="H83" s="19"/>
      <c r="I83" s="19"/>
      <c r="J83" s="19"/>
      <c r="K83" s="32"/>
      <c r="L83" s="91"/>
      <c r="M83" s="92"/>
      <c r="N83" s="92"/>
      <c r="O83" s="92"/>
      <c r="P83" s="92"/>
      <c r="Q83" s="92"/>
      <c r="R83" s="92"/>
      <c r="S83" s="92"/>
      <c r="T83" s="92"/>
    </row>
    <row r="84" spans="1:20" ht="48" customHeight="1" hidden="1" thickBot="1">
      <c r="A84" s="63"/>
      <c r="B84" s="8" t="s">
        <v>38</v>
      </c>
      <c r="C84" s="18">
        <f t="shared" si="23"/>
        <v>0</v>
      </c>
      <c r="D84" s="44"/>
      <c r="E84" s="19"/>
      <c r="F84" s="19"/>
      <c r="G84" s="19"/>
      <c r="H84" s="19"/>
      <c r="I84" s="19"/>
      <c r="J84" s="19"/>
      <c r="K84" s="32"/>
      <c r="L84" s="91"/>
      <c r="M84" s="92"/>
      <c r="N84" s="92"/>
      <c r="O84" s="92"/>
      <c r="P84" s="92"/>
      <c r="Q84" s="92"/>
      <c r="R84" s="92"/>
      <c r="S84" s="92"/>
      <c r="T84" s="92"/>
    </row>
    <row r="85" spans="1:20" ht="48" thickBot="1">
      <c r="A85" s="63">
        <v>45</v>
      </c>
      <c r="B85" s="8" t="s">
        <v>44</v>
      </c>
      <c r="C85" s="18">
        <f t="shared" si="23"/>
        <v>163535.7</v>
      </c>
      <c r="D85" s="44">
        <f aca="true" t="shared" si="25" ref="D85:J85">D96+D102+D117+D121+D127+E145+E150</f>
        <v>23828.5</v>
      </c>
      <c r="E85" s="19">
        <f t="shared" si="25"/>
        <v>22091.8</v>
      </c>
      <c r="F85" s="19">
        <f t="shared" si="25"/>
        <v>19211.399999999998</v>
      </c>
      <c r="G85" s="19">
        <f t="shared" si="25"/>
        <v>24601</v>
      </c>
      <c r="H85" s="19">
        <f t="shared" si="25"/>
        <v>24601</v>
      </c>
      <c r="I85" s="19">
        <f t="shared" si="25"/>
        <v>24601</v>
      </c>
      <c r="J85" s="19">
        <f t="shared" si="25"/>
        <v>24601</v>
      </c>
      <c r="K85" s="32"/>
      <c r="L85" s="91"/>
      <c r="M85" s="92"/>
      <c r="N85" s="92"/>
      <c r="O85" s="92"/>
      <c r="P85" s="92"/>
      <c r="Q85" s="92"/>
      <c r="R85" s="92"/>
      <c r="S85" s="92"/>
      <c r="T85" s="92"/>
    </row>
    <row r="86" spans="1:20" ht="174" thickBot="1">
      <c r="A86" s="63">
        <v>46</v>
      </c>
      <c r="B86" s="8" t="s">
        <v>41</v>
      </c>
      <c r="C86" s="18">
        <f>C87</f>
        <v>699136.9999999999</v>
      </c>
      <c r="D86" s="18">
        <f aca="true" t="shared" si="26" ref="D86:J86">D87</f>
        <v>87216</v>
      </c>
      <c r="E86" s="18">
        <f t="shared" si="26"/>
        <v>92516</v>
      </c>
      <c r="F86" s="18">
        <f t="shared" si="26"/>
        <v>107036.6</v>
      </c>
      <c r="G86" s="18">
        <f t="shared" si="26"/>
        <v>103092.1</v>
      </c>
      <c r="H86" s="18">
        <f t="shared" si="26"/>
        <v>103092.1</v>
      </c>
      <c r="I86" s="18">
        <f t="shared" si="26"/>
        <v>103092.1</v>
      </c>
      <c r="J86" s="18">
        <f t="shared" si="26"/>
        <v>103092.1</v>
      </c>
      <c r="K86" s="32" t="s">
        <v>86</v>
      </c>
      <c r="L86" s="91">
        <f>L87+L88</f>
        <v>0</v>
      </c>
      <c r="M86" s="92"/>
      <c r="N86" s="92"/>
      <c r="O86" s="92"/>
      <c r="P86" s="92"/>
      <c r="Q86" s="92"/>
      <c r="R86" s="92"/>
      <c r="S86" s="92"/>
      <c r="T86" s="92"/>
    </row>
    <row r="87" spans="1:30" ht="16.5" thickBot="1">
      <c r="A87" s="63">
        <v>47</v>
      </c>
      <c r="B87" s="8" t="s">
        <v>15</v>
      </c>
      <c r="C87" s="18">
        <f>D87+E87+F87+G87+H87+I87+J87</f>
        <v>699136.9999999999</v>
      </c>
      <c r="D87" s="19">
        <f>D88+49818.4+1098.3+U87+836+714.7</f>
        <v>87216</v>
      </c>
      <c r="E87" s="19">
        <f>88154.6+V87+AB87+AD87</f>
        <v>92516</v>
      </c>
      <c r="F87" s="19">
        <v>107036.6</v>
      </c>
      <c r="G87" s="19">
        <v>103092.1</v>
      </c>
      <c r="H87" s="19">
        <f aca="true" t="shared" si="27" ref="H87:J88">G87</f>
        <v>103092.1</v>
      </c>
      <c r="I87" s="19">
        <f t="shared" si="27"/>
        <v>103092.1</v>
      </c>
      <c r="J87" s="19">
        <f t="shared" si="27"/>
        <v>103092.1</v>
      </c>
      <c r="K87" s="32"/>
      <c r="L87" s="109">
        <f>255504.89</f>
        <v>255504.89</v>
      </c>
      <c r="M87" s="110"/>
      <c r="N87" s="110"/>
      <c r="O87" s="110"/>
      <c r="P87" s="110"/>
      <c r="Q87" s="110"/>
      <c r="R87" s="110"/>
      <c r="S87" s="110"/>
      <c r="T87" s="110"/>
      <c r="U87">
        <v>255.5</v>
      </c>
      <c r="V87">
        <v>-68.6</v>
      </c>
      <c r="AB87" s="41">
        <v>-2252</v>
      </c>
      <c r="AC87">
        <v>0</v>
      </c>
      <c r="AD87">
        <v>6682</v>
      </c>
    </row>
    <row r="88" spans="1:31" ht="48" thickBot="1">
      <c r="A88" s="63">
        <v>48</v>
      </c>
      <c r="B88" s="8" t="s">
        <v>44</v>
      </c>
      <c r="C88" s="18">
        <f>D88+E88+F88+G88+H88+I88+J88</f>
        <v>282178.1</v>
      </c>
      <c r="D88" s="19">
        <f>37052.3+U88-2303.7</f>
        <v>34493.100000000006</v>
      </c>
      <c r="E88" s="19">
        <f>35817.8+V88+AB88+AC88+AD88+AE88</f>
        <v>36897.600000000006</v>
      </c>
      <c r="F88" s="19">
        <v>43188.2</v>
      </c>
      <c r="G88" s="19">
        <v>41899.8</v>
      </c>
      <c r="H88" s="19">
        <f t="shared" si="27"/>
        <v>41899.8</v>
      </c>
      <c r="I88" s="19">
        <f t="shared" si="27"/>
        <v>41899.8</v>
      </c>
      <c r="J88" s="19">
        <f t="shared" si="27"/>
        <v>41899.8</v>
      </c>
      <c r="K88" s="32"/>
      <c r="L88" s="109">
        <f>-255504.89</f>
        <v>-255504.89</v>
      </c>
      <c r="M88" s="110"/>
      <c r="N88" s="110"/>
      <c r="O88" s="110"/>
      <c r="P88" s="110"/>
      <c r="Q88" s="110"/>
      <c r="R88" s="110"/>
      <c r="S88" s="110"/>
      <c r="T88" s="110"/>
      <c r="U88">
        <v>-255.5</v>
      </c>
      <c r="V88">
        <v>-68.6</v>
      </c>
      <c r="AB88" s="41">
        <v>-1323.2</v>
      </c>
      <c r="AC88">
        <v>393.4</v>
      </c>
      <c r="AD88">
        <v>683.1</v>
      </c>
      <c r="AE88" s="41">
        <v>1395.1</v>
      </c>
    </row>
    <row r="89" spans="1:20" ht="16.5" customHeight="1" hidden="1" thickBot="1">
      <c r="A89" s="63"/>
      <c r="B89" s="8" t="s">
        <v>39</v>
      </c>
      <c r="C89" s="16"/>
      <c r="D89" s="13"/>
      <c r="E89" s="13"/>
      <c r="F89" s="13"/>
      <c r="G89" s="13"/>
      <c r="H89" s="13"/>
      <c r="I89" s="13"/>
      <c r="J89" s="13"/>
      <c r="K89" s="32"/>
      <c r="L89" s="91"/>
      <c r="M89" s="93"/>
      <c r="N89" s="93"/>
      <c r="O89" s="93"/>
      <c r="P89" s="93"/>
      <c r="Q89" s="93"/>
      <c r="R89" s="93"/>
      <c r="S89" s="93"/>
      <c r="T89" s="93"/>
    </row>
    <row r="90" spans="1:20" ht="48" customHeight="1" hidden="1" thickBot="1">
      <c r="A90" s="63"/>
      <c r="B90" s="8" t="s">
        <v>38</v>
      </c>
      <c r="C90" s="16"/>
      <c r="D90" s="13"/>
      <c r="E90" s="13"/>
      <c r="F90" s="13"/>
      <c r="G90" s="13"/>
      <c r="H90" s="13"/>
      <c r="I90" s="13"/>
      <c r="J90" s="13"/>
      <c r="K90" s="32"/>
      <c r="L90" s="91"/>
      <c r="M90" s="92"/>
      <c r="N90" s="92"/>
      <c r="O90" s="92"/>
      <c r="P90" s="92"/>
      <c r="Q90" s="92"/>
      <c r="R90" s="92"/>
      <c r="S90" s="92"/>
      <c r="T90" s="92"/>
    </row>
    <row r="91" spans="1:20" ht="201.75" customHeight="1" thickBot="1">
      <c r="A91" s="63">
        <v>49</v>
      </c>
      <c r="B91" s="31" t="s">
        <v>42</v>
      </c>
      <c r="C91" s="16">
        <f>C92</f>
        <v>14280.999999999998</v>
      </c>
      <c r="D91" s="16">
        <f aca="true" t="shared" si="28" ref="D91:J91">D92</f>
        <v>1810.0000000000002</v>
      </c>
      <c r="E91" s="16">
        <f t="shared" si="28"/>
        <v>1903</v>
      </c>
      <c r="F91" s="16">
        <f t="shared" si="28"/>
        <v>1988.4</v>
      </c>
      <c r="G91" s="16">
        <f t="shared" si="28"/>
        <v>2144.9</v>
      </c>
      <c r="H91" s="16">
        <f t="shared" si="28"/>
        <v>2144.9</v>
      </c>
      <c r="I91" s="16">
        <f t="shared" si="28"/>
        <v>2144.9</v>
      </c>
      <c r="J91" s="16">
        <f t="shared" si="28"/>
        <v>2144.9</v>
      </c>
      <c r="K91" s="32" t="s">
        <v>87</v>
      </c>
      <c r="L91" s="91">
        <f>L92+L93</f>
        <v>0</v>
      </c>
      <c r="M91" s="92"/>
      <c r="N91" s="92"/>
      <c r="O91" s="92"/>
      <c r="P91" s="92"/>
      <c r="Q91" s="92"/>
      <c r="R91" s="92"/>
      <c r="S91" s="92"/>
      <c r="T91" s="92"/>
    </row>
    <row r="92" spans="1:22" ht="16.5" thickBot="1">
      <c r="A92" s="63">
        <v>50</v>
      </c>
      <c r="B92" s="8" t="s">
        <v>15</v>
      </c>
      <c r="C92" s="16">
        <f>D92+E92+F92+G92+H92+I92+J92</f>
        <v>14280.999999999998</v>
      </c>
      <c r="D92" s="13">
        <f>D93+154.86+631.9+158.16+U92-158.2+40.18</f>
        <v>1810.0000000000002</v>
      </c>
      <c r="E92" s="13">
        <f>1834.4+V92</f>
        <v>1903</v>
      </c>
      <c r="F92" s="13">
        <v>1988.4</v>
      </c>
      <c r="G92" s="13">
        <v>2144.9</v>
      </c>
      <c r="H92" s="13">
        <f aca="true" t="shared" si="29" ref="H92:J93">G92</f>
        <v>2144.9</v>
      </c>
      <c r="I92" s="13">
        <f t="shared" si="29"/>
        <v>2144.9</v>
      </c>
      <c r="J92" s="13">
        <f t="shared" si="29"/>
        <v>2144.9</v>
      </c>
      <c r="K92" s="32"/>
      <c r="L92" s="109">
        <v>10066.98</v>
      </c>
      <c r="M92" s="110"/>
      <c r="N92" s="110"/>
      <c r="O92" s="110"/>
      <c r="P92" s="110"/>
      <c r="Q92" s="110"/>
      <c r="R92" s="110"/>
      <c r="S92" s="110"/>
      <c r="T92" s="110"/>
      <c r="U92">
        <v>10.1</v>
      </c>
      <c r="V92">
        <v>68.6</v>
      </c>
    </row>
    <row r="93" spans="1:31" ht="48" thickBot="1">
      <c r="A93" s="63">
        <v>51</v>
      </c>
      <c r="B93" s="8" t="s">
        <v>44</v>
      </c>
      <c r="C93" s="16">
        <f>D93+E93+F93+G93+H93+I93+J93</f>
        <v>7735.199999999999</v>
      </c>
      <c r="D93" s="13">
        <f>865.08+U93+158.2-40.18</f>
        <v>973.0000000000001</v>
      </c>
      <c r="E93" s="13">
        <f>994.8+AE93</f>
        <v>1020.0999999999999</v>
      </c>
      <c r="F93" s="13">
        <v>1089.3</v>
      </c>
      <c r="G93" s="13">
        <v>1163.2</v>
      </c>
      <c r="H93" s="13">
        <f t="shared" si="29"/>
        <v>1163.2</v>
      </c>
      <c r="I93" s="13">
        <f t="shared" si="29"/>
        <v>1163.2</v>
      </c>
      <c r="J93" s="13">
        <f t="shared" si="29"/>
        <v>1163.2</v>
      </c>
      <c r="K93" s="32"/>
      <c r="L93" s="109">
        <f>-10066.98</f>
        <v>-10066.98</v>
      </c>
      <c r="M93" s="110"/>
      <c r="N93" s="110"/>
      <c r="O93" s="110"/>
      <c r="P93" s="110"/>
      <c r="Q93" s="110"/>
      <c r="R93" s="110"/>
      <c r="S93" s="110"/>
      <c r="T93" s="110"/>
      <c r="U93">
        <v>-10.1</v>
      </c>
      <c r="AE93">
        <v>25.3</v>
      </c>
    </row>
    <row r="94" spans="1:21" ht="159.75" customHeight="1" thickBot="1">
      <c r="A94" s="63">
        <v>52</v>
      </c>
      <c r="B94" s="28" t="s">
        <v>67</v>
      </c>
      <c r="C94" s="16">
        <f aca="true" t="shared" si="30" ref="C94:J94">C95</f>
        <v>466463.7</v>
      </c>
      <c r="D94" s="16">
        <f t="shared" si="30"/>
        <v>64073.7</v>
      </c>
      <c r="E94" s="16">
        <f t="shared" si="30"/>
        <v>64775</v>
      </c>
      <c r="F94" s="16">
        <f t="shared" si="30"/>
        <v>57033</v>
      </c>
      <c r="G94" s="16">
        <f t="shared" si="30"/>
        <v>70145.5</v>
      </c>
      <c r="H94" s="16">
        <f t="shared" si="30"/>
        <v>70145.5</v>
      </c>
      <c r="I94" s="16">
        <f t="shared" si="30"/>
        <v>70145.5</v>
      </c>
      <c r="J94" s="16">
        <f t="shared" si="30"/>
        <v>70145.5</v>
      </c>
      <c r="K94" s="32" t="s">
        <v>87</v>
      </c>
      <c r="L94" s="111">
        <f>L95+L96</f>
        <v>359695.36000000004</v>
      </c>
      <c r="M94" s="112"/>
      <c r="N94" s="112"/>
      <c r="O94" s="112"/>
      <c r="P94" s="112"/>
      <c r="Q94" s="112"/>
      <c r="R94" s="112"/>
      <c r="S94" s="112"/>
      <c r="T94" s="112"/>
      <c r="U94" s="39">
        <f>U95+U96</f>
        <v>359.7</v>
      </c>
    </row>
    <row r="95" spans="1:31" ht="16.5" thickBot="1">
      <c r="A95" s="63">
        <v>53</v>
      </c>
      <c r="B95" s="8" t="s">
        <v>16</v>
      </c>
      <c r="C95" s="16">
        <f>D95+E95+F95+G95+H95+I95+J95</f>
        <v>466463.7</v>
      </c>
      <c r="D95" s="13">
        <f>D96+41984-200+828.5+U95-313.1+56.7</f>
        <v>64073.7</v>
      </c>
      <c r="E95" s="13">
        <f>62711.4+V95+Y95+AB95+AC95+AD95+AE95</f>
        <v>64775</v>
      </c>
      <c r="F95" s="13">
        <v>57033</v>
      </c>
      <c r="G95" s="13">
        <v>70145.5</v>
      </c>
      <c r="H95" s="13">
        <f aca="true" t="shared" si="31" ref="H95:J96">G95</f>
        <v>70145.5</v>
      </c>
      <c r="I95" s="13">
        <f t="shared" si="31"/>
        <v>70145.5</v>
      </c>
      <c r="J95" s="13">
        <f t="shared" si="31"/>
        <v>70145.5</v>
      </c>
      <c r="K95" s="32"/>
      <c r="L95" s="109">
        <f>480960-275073.9+218271.6+115249.3+196480.66+20017-280960</f>
        <v>474944.66000000003</v>
      </c>
      <c r="M95" s="110"/>
      <c r="N95" s="110"/>
      <c r="O95" s="110"/>
      <c r="P95" s="110"/>
      <c r="Q95" s="110"/>
      <c r="R95" s="110"/>
      <c r="S95" s="110"/>
      <c r="T95" s="110"/>
      <c r="U95">
        <v>474.9</v>
      </c>
      <c r="V95">
        <v>896.7</v>
      </c>
      <c r="Y95" s="49">
        <v>14.4</v>
      </c>
      <c r="AB95" s="41">
        <f>392.7+308.5+178.2+11.5+54.5</f>
        <v>945.4000000000001</v>
      </c>
      <c r="AC95">
        <v>286.7</v>
      </c>
      <c r="AD95">
        <v>-122.6</v>
      </c>
      <c r="AE95">
        <v>43</v>
      </c>
    </row>
    <row r="96" spans="1:30" ht="48" thickBot="1">
      <c r="A96" s="63">
        <v>54</v>
      </c>
      <c r="B96" s="8" t="s">
        <v>38</v>
      </c>
      <c r="C96" s="16">
        <f>D96+E96+F96+G96+H96+I96+J96</f>
        <v>155317.5</v>
      </c>
      <c r="D96" s="13">
        <f>21927+U96-569.1</f>
        <v>21242.7</v>
      </c>
      <c r="E96" s="13">
        <f>21178.2+V96+AB96+AC96+AD96</f>
        <v>21785.699999999997</v>
      </c>
      <c r="F96" s="13">
        <v>18893.1</v>
      </c>
      <c r="G96" s="13">
        <v>23349</v>
      </c>
      <c r="H96" s="13">
        <f t="shared" si="31"/>
        <v>23349</v>
      </c>
      <c r="I96" s="13">
        <f t="shared" si="31"/>
        <v>23349</v>
      </c>
      <c r="J96" s="13">
        <f t="shared" si="31"/>
        <v>23349</v>
      </c>
      <c r="K96" s="32"/>
      <c r="L96" s="109">
        <f>-115249.3</f>
        <v>-115249.3</v>
      </c>
      <c r="M96" s="110"/>
      <c r="N96" s="110"/>
      <c r="O96" s="110"/>
      <c r="P96" s="110"/>
      <c r="Q96" s="110"/>
      <c r="R96" s="110"/>
      <c r="S96" s="110"/>
      <c r="T96" s="110"/>
      <c r="U96">
        <v>-115.2</v>
      </c>
      <c r="V96">
        <v>57.6</v>
      </c>
      <c r="AB96" s="41">
        <f>308.5</f>
        <v>308.5</v>
      </c>
      <c r="AC96">
        <v>30.8</v>
      </c>
      <c r="AD96">
        <v>210.6</v>
      </c>
    </row>
    <row r="97" spans="1:20" ht="122.25" customHeight="1" thickBot="1">
      <c r="A97" s="63">
        <v>55</v>
      </c>
      <c r="B97" s="21" t="s">
        <v>48</v>
      </c>
      <c r="C97" s="16">
        <f>C98</f>
        <v>35283</v>
      </c>
      <c r="D97" s="25">
        <f aca="true" t="shared" si="32" ref="D97:J97">D98</f>
        <v>4835</v>
      </c>
      <c r="E97" s="16">
        <f t="shared" si="32"/>
        <v>4714</v>
      </c>
      <c r="F97" s="16">
        <f t="shared" si="32"/>
        <v>5726</v>
      </c>
      <c r="G97" s="16">
        <f t="shared" si="32"/>
        <v>5002</v>
      </c>
      <c r="H97" s="16">
        <f t="shared" si="32"/>
        <v>5002</v>
      </c>
      <c r="I97" s="16">
        <f t="shared" si="32"/>
        <v>5002</v>
      </c>
      <c r="J97" s="16">
        <f t="shared" si="32"/>
        <v>5002</v>
      </c>
      <c r="K97" s="32">
        <v>25.26</v>
      </c>
      <c r="L97" s="91"/>
      <c r="M97" s="92"/>
      <c r="N97" s="92"/>
      <c r="O97" s="92"/>
      <c r="P97" s="92"/>
      <c r="Q97" s="92"/>
      <c r="R97" s="92"/>
      <c r="S97" s="92"/>
      <c r="T97" s="92"/>
    </row>
    <row r="98" spans="1:28" ht="16.5" thickBot="1">
      <c r="A98" s="63">
        <v>56</v>
      </c>
      <c r="B98" s="8" t="s">
        <v>15</v>
      </c>
      <c r="C98" s="16">
        <f>D98+E98+F98+G98+H98+I98+J98</f>
        <v>35283</v>
      </c>
      <c r="D98" s="13">
        <f>4749+165-113+34</f>
        <v>4835</v>
      </c>
      <c r="E98" s="13">
        <f>4589+AB98</f>
        <v>4714</v>
      </c>
      <c r="F98" s="13">
        <v>5726</v>
      </c>
      <c r="G98" s="13">
        <v>5002</v>
      </c>
      <c r="H98" s="13">
        <f aca="true" t="shared" si="33" ref="H98:J99">G98</f>
        <v>5002</v>
      </c>
      <c r="I98" s="13">
        <f t="shared" si="33"/>
        <v>5002</v>
      </c>
      <c r="J98" s="13">
        <f t="shared" si="33"/>
        <v>5002</v>
      </c>
      <c r="K98" s="32"/>
      <c r="L98" s="91"/>
      <c r="M98" s="92"/>
      <c r="N98" s="92"/>
      <c r="O98" s="92"/>
      <c r="P98" s="92"/>
      <c r="Q98" s="92"/>
      <c r="R98" s="92"/>
      <c r="S98" s="92"/>
      <c r="T98" s="92"/>
      <c r="AB98" s="41">
        <v>125</v>
      </c>
    </row>
    <row r="99" spans="1:31" ht="48" thickBot="1">
      <c r="A99" s="63">
        <v>57</v>
      </c>
      <c r="B99" s="8" t="s">
        <v>44</v>
      </c>
      <c r="C99" s="16">
        <f>D99+E99+F99+G99+H99+I99+J99</f>
        <v>19387.899999999998</v>
      </c>
      <c r="D99" s="13">
        <f>2796.3-107</f>
        <v>2689.3</v>
      </c>
      <c r="E99" s="13">
        <f>2670+AE99</f>
        <v>2657.2</v>
      </c>
      <c r="F99" s="13">
        <v>2399</v>
      </c>
      <c r="G99" s="13">
        <v>2910.6</v>
      </c>
      <c r="H99" s="13">
        <f t="shared" si="33"/>
        <v>2910.6</v>
      </c>
      <c r="I99" s="13">
        <f t="shared" si="33"/>
        <v>2910.6</v>
      </c>
      <c r="J99" s="13">
        <f t="shared" si="33"/>
        <v>2910.6</v>
      </c>
      <c r="K99" s="32"/>
      <c r="L99" s="91"/>
      <c r="M99" s="92"/>
      <c r="N99" s="92"/>
      <c r="O99" s="92"/>
      <c r="P99" s="92"/>
      <c r="Q99" s="92"/>
      <c r="R99" s="92"/>
      <c r="S99" s="92"/>
      <c r="T99" s="92"/>
      <c r="AE99">
        <v>-12.8</v>
      </c>
    </row>
    <row r="100" spans="1:20" ht="236.25" customHeight="1" thickBot="1">
      <c r="A100" s="63">
        <v>58</v>
      </c>
      <c r="B100" s="8" t="s">
        <v>61</v>
      </c>
      <c r="C100" s="16">
        <f>C101+C103</f>
        <v>8691.400000000001</v>
      </c>
      <c r="D100" s="16">
        <f aca="true" t="shared" si="34" ref="D100:J100">D101+D103</f>
        <v>2233.7</v>
      </c>
      <c r="E100" s="16">
        <f t="shared" si="34"/>
        <v>993.8</v>
      </c>
      <c r="F100" s="16">
        <f t="shared" si="34"/>
        <v>1411.5</v>
      </c>
      <c r="G100" s="16">
        <f t="shared" si="34"/>
        <v>1013.1</v>
      </c>
      <c r="H100" s="16">
        <f t="shared" si="34"/>
        <v>1013.1</v>
      </c>
      <c r="I100" s="16">
        <f t="shared" si="34"/>
        <v>1013.1</v>
      </c>
      <c r="J100" s="16">
        <f t="shared" si="34"/>
        <v>1013.1</v>
      </c>
      <c r="K100" s="32">
        <v>16.21</v>
      </c>
      <c r="L100" s="91"/>
      <c r="M100" s="92"/>
      <c r="N100" s="92"/>
      <c r="O100" s="92"/>
      <c r="P100" s="92"/>
      <c r="Q100" s="92"/>
      <c r="R100" s="92"/>
      <c r="S100" s="92"/>
      <c r="T100" s="92"/>
    </row>
    <row r="101" spans="1:20" ht="16.5" thickBot="1">
      <c r="A101" s="63">
        <v>59</v>
      </c>
      <c r="B101" s="8" t="s">
        <v>24</v>
      </c>
      <c r="C101" s="16">
        <f>D101+E101+F101+G101+H101+I101+J101</f>
        <v>7941.4000000000015</v>
      </c>
      <c r="D101" s="13">
        <f>D106+D111</f>
        <v>1483.6999999999998</v>
      </c>
      <c r="E101" s="13">
        <f aca="true" t="shared" si="35" ref="E101:J102">E111+E106</f>
        <v>993.8</v>
      </c>
      <c r="F101" s="13">
        <f t="shared" si="35"/>
        <v>1411.5</v>
      </c>
      <c r="G101" s="13">
        <f t="shared" si="35"/>
        <v>1013.1</v>
      </c>
      <c r="H101" s="13">
        <f t="shared" si="35"/>
        <v>1013.1</v>
      </c>
      <c r="I101" s="13">
        <f t="shared" si="35"/>
        <v>1013.1</v>
      </c>
      <c r="J101" s="13">
        <f t="shared" si="35"/>
        <v>1013.1</v>
      </c>
      <c r="K101" s="32"/>
      <c r="L101" s="91"/>
      <c r="M101" s="92"/>
      <c r="N101" s="92"/>
      <c r="O101" s="92"/>
      <c r="P101" s="92"/>
      <c r="Q101" s="92"/>
      <c r="R101" s="92"/>
      <c r="S101" s="92"/>
      <c r="T101" s="92"/>
    </row>
    <row r="102" spans="1:20" ht="48" thickBot="1">
      <c r="A102" s="63">
        <v>60</v>
      </c>
      <c r="B102" s="8" t="s">
        <v>44</v>
      </c>
      <c r="C102" s="16">
        <f>D102+E102+F102+G102+H102+I102+J102</f>
        <v>2154.6</v>
      </c>
      <c r="D102" s="13">
        <f>D107+D112</f>
        <v>299.4</v>
      </c>
      <c r="E102" s="13">
        <f t="shared" si="35"/>
        <v>236.9</v>
      </c>
      <c r="F102" s="13">
        <f t="shared" si="35"/>
        <v>318.3</v>
      </c>
      <c r="G102" s="13">
        <f t="shared" si="35"/>
        <v>325</v>
      </c>
      <c r="H102" s="13">
        <f t="shared" si="35"/>
        <v>325</v>
      </c>
      <c r="I102" s="13">
        <f t="shared" si="35"/>
        <v>325</v>
      </c>
      <c r="J102" s="13">
        <f t="shared" si="35"/>
        <v>325</v>
      </c>
      <c r="K102" s="32"/>
      <c r="L102" s="91"/>
      <c r="M102" s="92"/>
      <c r="N102" s="92"/>
      <c r="O102" s="92"/>
      <c r="P102" s="92"/>
      <c r="Q102" s="92"/>
      <c r="R102" s="92"/>
      <c r="S102" s="92"/>
      <c r="T102" s="92"/>
    </row>
    <row r="103" spans="1:20" ht="16.5" thickBot="1">
      <c r="A103" s="63">
        <v>61</v>
      </c>
      <c r="B103" s="8" t="s">
        <v>40</v>
      </c>
      <c r="C103" s="16">
        <f>D103+E103+F103+G103+H103+I103+J103</f>
        <v>750</v>
      </c>
      <c r="D103" s="24">
        <v>750</v>
      </c>
      <c r="E103" s="16">
        <f aca="true" t="shared" si="36" ref="E103:J104">F103+G103+H103+I103+J103+K103+L103</f>
        <v>0</v>
      </c>
      <c r="F103" s="16">
        <f t="shared" si="36"/>
        <v>0</v>
      </c>
      <c r="G103" s="16">
        <f t="shared" si="36"/>
        <v>0</v>
      </c>
      <c r="H103" s="16">
        <f t="shared" si="36"/>
        <v>0</v>
      </c>
      <c r="I103" s="16">
        <f t="shared" si="36"/>
        <v>0</v>
      </c>
      <c r="J103" s="16">
        <f t="shared" si="36"/>
        <v>0</v>
      </c>
      <c r="K103" s="32"/>
      <c r="L103" s="91"/>
      <c r="M103" s="92"/>
      <c r="N103" s="92"/>
      <c r="O103" s="92"/>
      <c r="P103" s="92"/>
      <c r="Q103" s="92"/>
      <c r="R103" s="92"/>
      <c r="S103" s="92"/>
      <c r="T103" s="92"/>
    </row>
    <row r="104" spans="1:20" ht="48" thickBot="1">
      <c r="A104" s="63">
        <v>62</v>
      </c>
      <c r="B104" s="8" t="s">
        <v>44</v>
      </c>
      <c r="C104" s="16">
        <f>D104+E104+F104+G104+H104+I104+J104</f>
        <v>0</v>
      </c>
      <c r="D104" s="16">
        <f>E104+F104+G104+H104+I104+J104+K104</f>
        <v>0</v>
      </c>
      <c r="E104" s="16">
        <f t="shared" si="36"/>
        <v>0</v>
      </c>
      <c r="F104" s="16">
        <f t="shared" si="36"/>
        <v>0</v>
      </c>
      <c r="G104" s="16">
        <f t="shared" si="36"/>
        <v>0</v>
      </c>
      <c r="H104" s="16">
        <f t="shared" si="36"/>
        <v>0</v>
      </c>
      <c r="I104" s="16">
        <f t="shared" si="36"/>
        <v>0</v>
      </c>
      <c r="J104" s="16">
        <f t="shared" si="36"/>
        <v>0</v>
      </c>
      <c r="K104" s="32"/>
      <c r="L104" s="91"/>
      <c r="M104" s="92"/>
      <c r="N104" s="92"/>
      <c r="O104" s="92"/>
      <c r="P104" s="92"/>
      <c r="Q104" s="92"/>
      <c r="R104" s="92"/>
      <c r="S104" s="92"/>
      <c r="T104" s="92"/>
    </row>
    <row r="105" spans="1:25" s="41" customFormat="1" ht="111" customHeight="1" thickBot="1">
      <c r="A105" s="64">
        <v>63</v>
      </c>
      <c r="B105" s="28" t="s">
        <v>76</v>
      </c>
      <c r="C105" s="25">
        <f>C106+C108</f>
        <v>7210.9000000000015</v>
      </c>
      <c r="D105" s="25">
        <f aca="true" t="shared" si="37" ref="D105:J105">D106+D108</f>
        <v>753.1999999999999</v>
      </c>
      <c r="E105" s="25">
        <f t="shared" si="37"/>
        <v>993.8</v>
      </c>
      <c r="F105" s="25">
        <f t="shared" si="37"/>
        <v>1411.5</v>
      </c>
      <c r="G105" s="25">
        <f t="shared" si="37"/>
        <v>1013.1</v>
      </c>
      <c r="H105" s="25">
        <f t="shared" si="37"/>
        <v>1013.1</v>
      </c>
      <c r="I105" s="25">
        <f t="shared" si="37"/>
        <v>1013.1</v>
      </c>
      <c r="J105" s="25">
        <f t="shared" si="37"/>
        <v>1013.1</v>
      </c>
      <c r="K105" s="40">
        <v>16.21</v>
      </c>
      <c r="L105" s="87">
        <f>L106</f>
        <v>-20017</v>
      </c>
      <c r="M105" s="88"/>
      <c r="N105" s="88"/>
      <c r="O105" s="88"/>
      <c r="P105" s="88"/>
      <c r="Q105" s="88"/>
      <c r="R105" s="88"/>
      <c r="S105" s="88"/>
      <c r="T105" s="88"/>
      <c r="U105" s="41">
        <v>-20</v>
      </c>
      <c r="Y105" s="49"/>
    </row>
    <row r="106" spans="1:31" s="41" customFormat="1" ht="16.5" thickBot="1">
      <c r="A106" s="64">
        <v>64</v>
      </c>
      <c r="B106" s="21" t="s">
        <v>24</v>
      </c>
      <c r="C106" s="25">
        <f>D106+E106+F106+G106+H106+I106+J106</f>
        <v>7210.9000000000015</v>
      </c>
      <c r="D106" s="24">
        <f>730.4+U106-40+82.9-0.1</f>
        <v>753.1999999999999</v>
      </c>
      <c r="E106" s="24">
        <f>969.6+Y106+AB106+AC106+AD106+AE106</f>
        <v>993.8</v>
      </c>
      <c r="F106" s="24">
        <v>1411.5</v>
      </c>
      <c r="G106" s="24">
        <v>1013.1</v>
      </c>
      <c r="H106" s="24">
        <f aca="true" t="shared" si="38" ref="H106:J107">G106</f>
        <v>1013.1</v>
      </c>
      <c r="I106" s="24">
        <f t="shared" si="38"/>
        <v>1013.1</v>
      </c>
      <c r="J106" s="24">
        <f t="shared" si="38"/>
        <v>1013.1</v>
      </c>
      <c r="K106" s="40"/>
      <c r="L106" s="81">
        <f>-20017</f>
        <v>-20017</v>
      </c>
      <c r="M106" s="82"/>
      <c r="N106" s="82"/>
      <c r="O106" s="82"/>
      <c r="P106" s="82"/>
      <c r="Q106" s="82"/>
      <c r="R106" s="82"/>
      <c r="S106" s="82"/>
      <c r="T106" s="82"/>
      <c r="U106" s="41">
        <v>-20</v>
      </c>
      <c r="Y106" s="49">
        <v>-14.4</v>
      </c>
      <c r="AB106" s="41">
        <v>153.6</v>
      </c>
      <c r="AC106" s="41">
        <v>-81</v>
      </c>
      <c r="AD106" s="41">
        <v>-48.1</v>
      </c>
      <c r="AE106" s="41">
        <v>14.1</v>
      </c>
    </row>
    <row r="107" spans="1:30" s="41" customFormat="1" ht="48" thickBot="1">
      <c r="A107" s="64">
        <v>65</v>
      </c>
      <c r="B107" s="21" t="s">
        <v>44</v>
      </c>
      <c r="C107" s="25">
        <f>D107+E107+F107+G107+H107+I107+J107</f>
        <v>2154.6</v>
      </c>
      <c r="D107" s="24">
        <f>242.5+56.9</f>
        <v>299.4</v>
      </c>
      <c r="E107" s="24">
        <f>294.8+AC107+AD107</f>
        <v>236.9</v>
      </c>
      <c r="F107" s="24">
        <v>318.3</v>
      </c>
      <c r="G107" s="24">
        <v>325</v>
      </c>
      <c r="H107" s="24">
        <f t="shared" si="38"/>
        <v>325</v>
      </c>
      <c r="I107" s="24">
        <f t="shared" si="38"/>
        <v>325</v>
      </c>
      <c r="J107" s="24">
        <f t="shared" si="38"/>
        <v>325</v>
      </c>
      <c r="K107" s="40"/>
      <c r="L107" s="87"/>
      <c r="M107" s="88"/>
      <c r="N107" s="88"/>
      <c r="O107" s="88"/>
      <c r="P107" s="88"/>
      <c r="Q107" s="88"/>
      <c r="R107" s="88"/>
      <c r="S107" s="88"/>
      <c r="T107" s="88"/>
      <c r="Y107" s="49"/>
      <c r="AC107" s="41">
        <v>-30.8</v>
      </c>
      <c r="AD107" s="41">
        <v>-27.1</v>
      </c>
    </row>
    <row r="108" spans="1:25" s="41" customFormat="1" ht="16.5" thickBot="1">
      <c r="A108" s="64">
        <v>66</v>
      </c>
      <c r="B108" s="21" t="s">
        <v>40</v>
      </c>
      <c r="C108" s="25">
        <f>D108+E108+F108+G108+H108+I108+J108</f>
        <v>0</v>
      </c>
      <c r="D108" s="25">
        <f aca="true" t="shared" si="39" ref="D108:J109">E108+F108+G108+H108+I108+J108+K108</f>
        <v>0</v>
      </c>
      <c r="E108" s="25">
        <f t="shared" si="39"/>
        <v>0</v>
      </c>
      <c r="F108" s="25">
        <f t="shared" si="39"/>
        <v>0</v>
      </c>
      <c r="G108" s="25">
        <f t="shared" si="39"/>
        <v>0</v>
      </c>
      <c r="H108" s="25">
        <f t="shared" si="39"/>
        <v>0</v>
      </c>
      <c r="I108" s="25">
        <f t="shared" si="39"/>
        <v>0</v>
      </c>
      <c r="J108" s="25">
        <f t="shared" si="39"/>
        <v>0</v>
      </c>
      <c r="K108" s="40"/>
      <c r="L108" s="87"/>
      <c r="M108" s="88"/>
      <c r="N108" s="88"/>
      <c r="O108" s="88"/>
      <c r="P108" s="88"/>
      <c r="Q108" s="88"/>
      <c r="R108" s="88"/>
      <c r="S108" s="88"/>
      <c r="T108" s="88"/>
      <c r="Y108" s="49"/>
    </row>
    <row r="109" spans="1:25" s="41" customFormat="1" ht="48" thickBot="1">
      <c r="A109" s="64">
        <v>67</v>
      </c>
      <c r="B109" s="21" t="s">
        <v>44</v>
      </c>
      <c r="C109" s="25">
        <f>D109+E109+F109+G109+H109+I109+J109</f>
        <v>0</v>
      </c>
      <c r="D109" s="25">
        <f t="shared" si="39"/>
        <v>0</v>
      </c>
      <c r="E109" s="25">
        <f t="shared" si="39"/>
        <v>0</v>
      </c>
      <c r="F109" s="25">
        <f t="shared" si="39"/>
        <v>0</v>
      </c>
      <c r="G109" s="25">
        <f t="shared" si="39"/>
        <v>0</v>
      </c>
      <c r="H109" s="25">
        <f t="shared" si="39"/>
        <v>0</v>
      </c>
      <c r="I109" s="25">
        <f t="shared" si="39"/>
        <v>0</v>
      </c>
      <c r="J109" s="25">
        <f t="shared" si="39"/>
        <v>0</v>
      </c>
      <c r="K109" s="40"/>
      <c r="L109" s="87"/>
      <c r="M109" s="88"/>
      <c r="N109" s="88"/>
      <c r="O109" s="88"/>
      <c r="P109" s="88"/>
      <c r="Q109" s="88"/>
      <c r="R109" s="88"/>
      <c r="S109" s="88"/>
      <c r="T109" s="88"/>
      <c r="Y109" s="49"/>
    </row>
    <row r="110" spans="1:25" s="41" customFormat="1" ht="190.5" customHeight="1" thickBot="1">
      <c r="A110" s="64">
        <v>68</v>
      </c>
      <c r="B110" s="28" t="s">
        <v>80</v>
      </c>
      <c r="C110" s="25">
        <f>C111+C113</f>
        <v>1480.5</v>
      </c>
      <c r="D110" s="25">
        <f aca="true" t="shared" si="40" ref="D110:J110">D111+D113</f>
        <v>1480.5</v>
      </c>
      <c r="E110" s="25">
        <f t="shared" si="40"/>
        <v>0</v>
      </c>
      <c r="F110" s="25">
        <f t="shared" si="40"/>
        <v>0</v>
      </c>
      <c r="G110" s="25">
        <f t="shared" si="40"/>
        <v>0</v>
      </c>
      <c r="H110" s="25">
        <f t="shared" si="40"/>
        <v>0</v>
      </c>
      <c r="I110" s="25">
        <f t="shared" si="40"/>
        <v>0</v>
      </c>
      <c r="J110" s="25">
        <f t="shared" si="40"/>
        <v>0</v>
      </c>
      <c r="K110" s="40">
        <v>16.21</v>
      </c>
      <c r="L110" s="87"/>
      <c r="M110" s="88"/>
      <c r="N110" s="88"/>
      <c r="O110" s="88"/>
      <c r="P110" s="88"/>
      <c r="Q110" s="88"/>
      <c r="R110" s="88"/>
      <c r="S110" s="88"/>
      <c r="T110" s="88"/>
      <c r="Y110" s="49"/>
    </row>
    <row r="111" spans="1:28" s="41" customFormat="1" ht="16.5" thickBot="1">
      <c r="A111" s="64">
        <v>69</v>
      </c>
      <c r="B111" s="21" t="s">
        <v>24</v>
      </c>
      <c r="C111" s="25">
        <f>D111+E111+F111+G111+H111+I111+J111</f>
        <v>730.5</v>
      </c>
      <c r="D111" s="24">
        <v>730.5</v>
      </c>
      <c r="E111" s="24">
        <f>1500+V111+Y111+Z111+AB111</f>
        <v>0</v>
      </c>
      <c r="F111" s="24">
        <v>0</v>
      </c>
      <c r="G111" s="24">
        <v>0</v>
      </c>
      <c r="H111" s="24">
        <f aca="true" t="shared" si="41" ref="H111:J112">G111</f>
        <v>0</v>
      </c>
      <c r="I111" s="24">
        <f t="shared" si="41"/>
        <v>0</v>
      </c>
      <c r="J111" s="24">
        <f t="shared" si="41"/>
        <v>0</v>
      </c>
      <c r="K111" s="40"/>
      <c r="L111" s="87"/>
      <c r="M111" s="88"/>
      <c r="N111" s="88"/>
      <c r="O111" s="88"/>
      <c r="P111" s="88"/>
      <c r="Q111" s="88"/>
      <c r="R111" s="88"/>
      <c r="S111" s="88"/>
      <c r="T111" s="88"/>
      <c r="V111" s="41">
        <v>-822</v>
      </c>
      <c r="Y111" s="49">
        <v>-90.7</v>
      </c>
      <c r="Z111" s="41">
        <v>-348</v>
      </c>
      <c r="AB111" s="41">
        <f>-85.7-153.6</f>
        <v>-239.3</v>
      </c>
    </row>
    <row r="112" spans="1:25" s="41" customFormat="1" ht="48" thickBot="1">
      <c r="A112" s="64">
        <v>70</v>
      </c>
      <c r="B112" s="21" t="s">
        <v>44</v>
      </c>
      <c r="C112" s="25">
        <f>D112+E112+F112+G112+H112+I112+J112</f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41"/>
        <v>0</v>
      </c>
      <c r="I112" s="24">
        <f t="shared" si="41"/>
        <v>0</v>
      </c>
      <c r="J112" s="24">
        <f t="shared" si="41"/>
        <v>0</v>
      </c>
      <c r="K112" s="40"/>
      <c r="L112" s="87"/>
      <c r="M112" s="88"/>
      <c r="N112" s="88"/>
      <c r="O112" s="88"/>
      <c r="P112" s="88"/>
      <c r="Q112" s="88"/>
      <c r="R112" s="88"/>
      <c r="S112" s="88"/>
      <c r="T112" s="88"/>
      <c r="Y112" s="49"/>
    </row>
    <row r="113" spans="1:25" s="41" customFormat="1" ht="16.5" thickBot="1">
      <c r="A113" s="64">
        <v>71</v>
      </c>
      <c r="B113" s="21" t="s">
        <v>40</v>
      </c>
      <c r="C113" s="25">
        <f>D113+E113+F113+G113+H113+I113+J113</f>
        <v>750</v>
      </c>
      <c r="D113" s="24">
        <v>750</v>
      </c>
      <c r="E113" s="25">
        <f aca="true" t="shared" si="42" ref="E113:J114">F113+G113+H113+I113+J113+K113+L113</f>
        <v>0</v>
      </c>
      <c r="F113" s="25">
        <f t="shared" si="42"/>
        <v>0</v>
      </c>
      <c r="G113" s="25">
        <f t="shared" si="42"/>
        <v>0</v>
      </c>
      <c r="H113" s="25">
        <f t="shared" si="42"/>
        <v>0</v>
      </c>
      <c r="I113" s="25">
        <f t="shared" si="42"/>
        <v>0</v>
      </c>
      <c r="J113" s="25">
        <f t="shared" si="42"/>
        <v>0</v>
      </c>
      <c r="K113" s="40"/>
      <c r="L113" s="87"/>
      <c r="M113" s="88"/>
      <c r="N113" s="88"/>
      <c r="O113" s="88"/>
      <c r="P113" s="88"/>
      <c r="Q113" s="88"/>
      <c r="R113" s="88"/>
      <c r="S113" s="88"/>
      <c r="T113" s="88"/>
      <c r="Y113" s="49"/>
    </row>
    <row r="114" spans="1:25" s="41" customFormat="1" ht="48" thickBot="1">
      <c r="A114" s="64">
        <v>72</v>
      </c>
      <c r="B114" s="21" t="s">
        <v>44</v>
      </c>
      <c r="C114" s="25">
        <f>D114+E114+F114+G114+H114+I114+J114</f>
        <v>0</v>
      </c>
      <c r="D114" s="24">
        <v>0</v>
      </c>
      <c r="E114" s="25">
        <f t="shared" si="42"/>
        <v>0</v>
      </c>
      <c r="F114" s="25">
        <f t="shared" si="42"/>
        <v>0</v>
      </c>
      <c r="G114" s="25">
        <f t="shared" si="42"/>
        <v>0</v>
      </c>
      <c r="H114" s="25">
        <f t="shared" si="42"/>
        <v>0</v>
      </c>
      <c r="I114" s="25">
        <f t="shared" si="42"/>
        <v>0</v>
      </c>
      <c r="J114" s="25">
        <f t="shared" si="42"/>
        <v>0</v>
      </c>
      <c r="K114" s="40"/>
      <c r="L114" s="87"/>
      <c r="M114" s="88"/>
      <c r="N114" s="88"/>
      <c r="O114" s="88"/>
      <c r="P114" s="88"/>
      <c r="Q114" s="88"/>
      <c r="R114" s="88"/>
      <c r="S114" s="88"/>
      <c r="T114" s="88"/>
      <c r="Y114" s="49"/>
    </row>
    <row r="115" spans="1:25" s="41" customFormat="1" ht="63.75" thickBot="1">
      <c r="A115" s="64">
        <v>73</v>
      </c>
      <c r="B115" s="21" t="s">
        <v>62</v>
      </c>
      <c r="C115" s="25">
        <f>C116</f>
        <v>0</v>
      </c>
      <c r="D115" s="25">
        <f aca="true" t="shared" si="43" ref="D115:J115">D116</f>
        <v>0</v>
      </c>
      <c r="E115" s="25">
        <f t="shared" si="43"/>
        <v>0</v>
      </c>
      <c r="F115" s="25">
        <f t="shared" si="43"/>
        <v>0</v>
      </c>
      <c r="G115" s="25">
        <f t="shared" si="43"/>
        <v>0</v>
      </c>
      <c r="H115" s="25">
        <f t="shared" si="43"/>
        <v>0</v>
      </c>
      <c r="I115" s="25">
        <f t="shared" si="43"/>
        <v>0</v>
      </c>
      <c r="J115" s="25">
        <f t="shared" si="43"/>
        <v>0</v>
      </c>
      <c r="K115" s="40" t="s">
        <v>88</v>
      </c>
      <c r="L115" s="87"/>
      <c r="M115" s="88"/>
      <c r="N115" s="88"/>
      <c r="O115" s="88"/>
      <c r="P115" s="88"/>
      <c r="Q115" s="88"/>
      <c r="R115" s="88"/>
      <c r="S115" s="88"/>
      <c r="T115" s="88"/>
      <c r="Y115" s="49"/>
    </row>
    <row r="116" spans="1:25" s="41" customFormat="1" ht="16.5" thickBot="1">
      <c r="A116" s="64">
        <v>74</v>
      </c>
      <c r="B116" s="21" t="s">
        <v>24</v>
      </c>
      <c r="C116" s="25">
        <f>D116+E116+F116+G116+H116+I116+J116</f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40"/>
      <c r="L116" s="87"/>
      <c r="M116" s="88"/>
      <c r="N116" s="88"/>
      <c r="O116" s="88"/>
      <c r="P116" s="88"/>
      <c r="Q116" s="88"/>
      <c r="R116" s="88"/>
      <c r="S116" s="88"/>
      <c r="T116" s="88"/>
      <c r="Y116" s="49"/>
    </row>
    <row r="117" spans="1:25" s="41" customFormat="1" ht="48" thickBot="1">
      <c r="A117" s="64">
        <v>75</v>
      </c>
      <c r="B117" s="21" t="s">
        <v>44</v>
      </c>
      <c r="C117" s="25">
        <f>D117+E117+F117+G117+H117+I117+J117</f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40"/>
      <c r="L117" s="87"/>
      <c r="M117" s="88"/>
      <c r="N117" s="88"/>
      <c r="O117" s="88"/>
      <c r="P117" s="88"/>
      <c r="Q117" s="88"/>
      <c r="R117" s="88"/>
      <c r="S117" s="88"/>
      <c r="T117" s="88"/>
      <c r="Y117" s="49"/>
    </row>
    <row r="118" spans="1:20" ht="15.75">
      <c r="A118" s="94">
        <v>76</v>
      </c>
      <c r="B118" s="12" t="s">
        <v>25</v>
      </c>
      <c r="C118" s="123">
        <f>C120</f>
        <v>0</v>
      </c>
      <c r="D118" s="123">
        <f aca="true" t="shared" si="44" ref="D118:J118">D120</f>
        <v>0</v>
      </c>
      <c r="E118" s="123">
        <f t="shared" si="44"/>
        <v>0</v>
      </c>
      <c r="F118" s="123">
        <f t="shared" si="44"/>
        <v>0</v>
      </c>
      <c r="G118" s="123">
        <f t="shared" si="44"/>
        <v>0</v>
      </c>
      <c r="H118" s="123">
        <f t="shared" si="44"/>
        <v>0</v>
      </c>
      <c r="I118" s="123">
        <f t="shared" si="44"/>
        <v>0</v>
      </c>
      <c r="J118" s="123">
        <f t="shared" si="44"/>
        <v>0</v>
      </c>
      <c r="K118" s="107" t="s">
        <v>89</v>
      </c>
      <c r="L118" s="91"/>
      <c r="M118" s="92"/>
      <c r="N118" s="92"/>
      <c r="O118" s="92"/>
      <c r="P118" s="92"/>
      <c r="Q118" s="92"/>
      <c r="R118" s="92"/>
      <c r="S118" s="92"/>
      <c r="T118" s="92"/>
    </row>
    <row r="119" spans="1:20" ht="68.25" customHeight="1" thickBot="1">
      <c r="A119" s="95"/>
      <c r="B119" s="8" t="s">
        <v>57</v>
      </c>
      <c r="C119" s="124"/>
      <c r="D119" s="124"/>
      <c r="E119" s="124"/>
      <c r="F119" s="124"/>
      <c r="G119" s="124"/>
      <c r="H119" s="124"/>
      <c r="I119" s="124"/>
      <c r="J119" s="124"/>
      <c r="K119" s="108"/>
      <c r="L119" s="91"/>
      <c r="M119" s="92"/>
      <c r="N119" s="92"/>
      <c r="O119" s="92"/>
      <c r="P119" s="92"/>
      <c r="Q119" s="92"/>
      <c r="R119" s="92"/>
      <c r="S119" s="92"/>
      <c r="T119" s="92"/>
    </row>
    <row r="120" spans="1:20" ht="16.5" thickBot="1">
      <c r="A120" s="63">
        <v>77</v>
      </c>
      <c r="B120" s="8" t="s">
        <v>16</v>
      </c>
      <c r="C120" s="16">
        <f>D120+E120+F120+G120+H120+I120+J120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2"/>
      <c r="L120" s="91"/>
      <c r="M120" s="92"/>
      <c r="N120" s="92"/>
      <c r="O120" s="92"/>
      <c r="P120" s="92"/>
      <c r="Q120" s="92"/>
      <c r="R120" s="92"/>
      <c r="S120" s="92"/>
      <c r="T120" s="92"/>
    </row>
    <row r="121" spans="1:20" ht="48" thickBot="1">
      <c r="A121" s="63">
        <v>78</v>
      </c>
      <c r="B121" s="8" t="s">
        <v>44</v>
      </c>
      <c r="C121" s="16">
        <f>D121+E121+F121+G121+H121+I121+J121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2"/>
      <c r="L121" s="91"/>
      <c r="M121" s="92"/>
      <c r="N121" s="92"/>
      <c r="O121" s="92"/>
      <c r="P121" s="92"/>
      <c r="Q121" s="92"/>
      <c r="R121" s="92"/>
      <c r="S121" s="92"/>
      <c r="T121" s="92"/>
    </row>
    <row r="122" spans="1:20" ht="15.75" customHeight="1">
      <c r="A122" s="94">
        <v>79</v>
      </c>
      <c r="B122" s="12" t="s">
        <v>26</v>
      </c>
      <c r="C122" s="123">
        <f>C124+C126</f>
        <v>14392.800000000001</v>
      </c>
      <c r="D122" s="123">
        <f aca="true" t="shared" si="45" ref="D122:J122">D124+D126</f>
        <v>5930.1</v>
      </c>
      <c r="E122" s="123">
        <f t="shared" si="45"/>
        <v>1896.6</v>
      </c>
      <c r="F122" s="123">
        <f t="shared" si="45"/>
        <v>2227.7</v>
      </c>
      <c r="G122" s="123">
        <f t="shared" si="45"/>
        <v>1084.6</v>
      </c>
      <c r="H122" s="123">
        <f t="shared" si="45"/>
        <v>1084.6</v>
      </c>
      <c r="I122" s="123">
        <f t="shared" si="45"/>
        <v>1084.6</v>
      </c>
      <c r="J122" s="123">
        <f t="shared" si="45"/>
        <v>1084.6</v>
      </c>
      <c r="K122" s="125" t="s">
        <v>90</v>
      </c>
      <c r="L122" s="91"/>
      <c r="M122" s="92"/>
      <c r="N122" s="92"/>
      <c r="O122" s="92"/>
      <c r="P122" s="92"/>
      <c r="Q122" s="92"/>
      <c r="R122" s="92"/>
      <c r="S122" s="92"/>
      <c r="T122" s="92"/>
    </row>
    <row r="123" spans="1:20" ht="102" customHeight="1" thickBot="1">
      <c r="A123" s="95"/>
      <c r="B123" s="8" t="s">
        <v>68</v>
      </c>
      <c r="C123" s="124"/>
      <c r="D123" s="124"/>
      <c r="E123" s="124"/>
      <c r="F123" s="124"/>
      <c r="G123" s="124"/>
      <c r="H123" s="124"/>
      <c r="I123" s="124"/>
      <c r="J123" s="124"/>
      <c r="K123" s="126"/>
      <c r="L123" s="91"/>
      <c r="M123" s="92"/>
      <c r="N123" s="92"/>
      <c r="O123" s="92"/>
      <c r="P123" s="92"/>
      <c r="Q123" s="92"/>
      <c r="R123" s="92"/>
      <c r="S123" s="92"/>
      <c r="T123" s="92"/>
    </row>
    <row r="124" spans="1:20" ht="16.5" thickBot="1">
      <c r="A124" s="63">
        <v>80</v>
      </c>
      <c r="B124" s="8" t="s">
        <v>15</v>
      </c>
      <c r="C124" s="16">
        <f>D124+E124+F124+G124+H124+I124+J124</f>
        <v>1599.8</v>
      </c>
      <c r="D124" s="24">
        <f>D130+D136</f>
        <v>1252</v>
      </c>
      <c r="E124" s="13">
        <f>E130+E136</f>
        <v>347.8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2"/>
      <c r="L124" s="91"/>
      <c r="M124" s="92"/>
      <c r="N124" s="92"/>
      <c r="O124" s="92"/>
      <c r="P124" s="92"/>
      <c r="Q124" s="92"/>
      <c r="R124" s="92"/>
      <c r="S124" s="92"/>
      <c r="T124" s="92"/>
    </row>
    <row r="125" spans="1:20" ht="48" thickBot="1">
      <c r="A125" s="63">
        <v>81</v>
      </c>
      <c r="B125" s="8" t="s">
        <v>44</v>
      </c>
      <c r="C125" s="16">
        <f>D125+E125+F125+G125+H125+I125+J125</f>
        <v>305.5</v>
      </c>
      <c r="D125" s="24">
        <f>D131+D137</f>
        <v>305.5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2"/>
      <c r="L125" s="91"/>
      <c r="M125" s="92"/>
      <c r="N125" s="92"/>
      <c r="O125" s="92"/>
      <c r="P125" s="92"/>
      <c r="Q125" s="92"/>
      <c r="R125" s="92"/>
      <c r="S125" s="92"/>
      <c r="T125" s="92"/>
    </row>
    <row r="126" spans="1:20" ht="21" customHeight="1" thickBot="1">
      <c r="A126" s="63">
        <v>82</v>
      </c>
      <c r="B126" s="8" t="s">
        <v>16</v>
      </c>
      <c r="C126" s="16">
        <f>D126+E126+F126+G126+H126+I126+J126</f>
        <v>12793.000000000002</v>
      </c>
      <c r="D126" s="24">
        <f>D132+D138</f>
        <v>4678.1</v>
      </c>
      <c r="E126" s="13">
        <f>E132+E138</f>
        <v>1548.8</v>
      </c>
      <c r="F126" s="13">
        <f aca="true" t="shared" si="46" ref="E126:J127">F132+F138</f>
        <v>2227.7</v>
      </c>
      <c r="G126" s="13">
        <f t="shared" si="46"/>
        <v>1084.6</v>
      </c>
      <c r="H126" s="13">
        <f t="shared" si="46"/>
        <v>1084.6</v>
      </c>
      <c r="I126" s="13">
        <f t="shared" si="46"/>
        <v>1084.6</v>
      </c>
      <c r="J126" s="13">
        <f t="shared" si="46"/>
        <v>1084.6</v>
      </c>
      <c r="K126" s="32"/>
      <c r="L126" s="91"/>
      <c r="M126" s="92"/>
      <c r="N126" s="92"/>
      <c r="O126" s="92"/>
      <c r="P126" s="92"/>
      <c r="Q126" s="92"/>
      <c r="R126" s="92"/>
      <c r="S126" s="92"/>
      <c r="T126" s="92"/>
    </row>
    <row r="127" spans="1:20" ht="48" thickBot="1">
      <c r="A127" s="63">
        <v>83</v>
      </c>
      <c r="B127" s="8" t="s">
        <v>44</v>
      </c>
      <c r="C127" s="16">
        <f>D127+E127+F127+G127+H127+I127+J127</f>
        <v>6063.599999999999</v>
      </c>
      <c r="D127" s="13">
        <f>D133+D139</f>
        <v>2286.3999999999996</v>
      </c>
      <c r="E127" s="13">
        <f t="shared" si="46"/>
        <v>69.2</v>
      </c>
      <c r="F127" s="13">
        <f t="shared" si="46"/>
        <v>0</v>
      </c>
      <c r="G127" s="13">
        <f t="shared" si="46"/>
        <v>927</v>
      </c>
      <c r="H127" s="13">
        <f t="shared" si="46"/>
        <v>927</v>
      </c>
      <c r="I127" s="13">
        <f t="shared" si="46"/>
        <v>927</v>
      </c>
      <c r="J127" s="13">
        <f t="shared" si="46"/>
        <v>927</v>
      </c>
      <c r="K127" s="32"/>
      <c r="L127" s="91"/>
      <c r="M127" s="92"/>
      <c r="N127" s="92"/>
      <c r="O127" s="92"/>
      <c r="P127" s="92"/>
      <c r="Q127" s="92"/>
      <c r="R127" s="92"/>
      <c r="S127" s="92"/>
      <c r="T127" s="92"/>
    </row>
    <row r="128" spans="1:25" s="41" customFormat="1" ht="15.75" customHeight="1">
      <c r="A128" s="83">
        <v>84</v>
      </c>
      <c r="B128" s="27" t="s">
        <v>77</v>
      </c>
      <c r="C128" s="85">
        <f>C130+C132</f>
        <v>4287.5</v>
      </c>
      <c r="D128" s="85">
        <f aca="true" t="shared" si="47" ref="D128:J128">D130+D132</f>
        <v>3420.5</v>
      </c>
      <c r="E128" s="85">
        <f t="shared" si="47"/>
        <v>811.5</v>
      </c>
      <c r="F128" s="85">
        <f t="shared" si="47"/>
        <v>55.5</v>
      </c>
      <c r="G128" s="85">
        <f t="shared" si="47"/>
        <v>0</v>
      </c>
      <c r="H128" s="85">
        <f t="shared" si="47"/>
        <v>0</v>
      </c>
      <c r="I128" s="85">
        <f t="shared" si="47"/>
        <v>0</v>
      </c>
      <c r="J128" s="85">
        <f t="shared" si="47"/>
        <v>0</v>
      </c>
      <c r="K128" s="89" t="s">
        <v>90</v>
      </c>
      <c r="L128" s="87">
        <f>L130+L132</f>
        <v>276960</v>
      </c>
      <c r="M128" s="88"/>
      <c r="N128" s="88"/>
      <c r="O128" s="88"/>
      <c r="P128" s="88"/>
      <c r="Q128" s="88"/>
      <c r="R128" s="88"/>
      <c r="S128" s="88"/>
      <c r="T128" s="88"/>
      <c r="Y128" s="49"/>
    </row>
    <row r="129" spans="1:25" s="41" customFormat="1" ht="88.5" customHeight="1" thickBot="1">
      <c r="A129" s="84"/>
      <c r="B129" s="21" t="s">
        <v>105</v>
      </c>
      <c r="C129" s="86"/>
      <c r="D129" s="86"/>
      <c r="E129" s="86"/>
      <c r="F129" s="86"/>
      <c r="G129" s="86"/>
      <c r="H129" s="86"/>
      <c r="I129" s="86"/>
      <c r="J129" s="86"/>
      <c r="K129" s="90"/>
      <c r="L129" s="87"/>
      <c r="M129" s="88"/>
      <c r="N129" s="88"/>
      <c r="O129" s="88"/>
      <c r="P129" s="88"/>
      <c r="Q129" s="88"/>
      <c r="R129" s="88"/>
      <c r="S129" s="88"/>
      <c r="T129" s="88"/>
      <c r="U129" s="41">
        <v>276.9</v>
      </c>
      <c r="Y129" s="49"/>
    </row>
    <row r="130" spans="1:25" s="41" customFormat="1" ht="16.5" thickBot="1">
      <c r="A130" s="64">
        <v>85</v>
      </c>
      <c r="B130" s="21" t="s">
        <v>15</v>
      </c>
      <c r="C130" s="25">
        <f>D130+E130+F130+G130+H130+I130+J130</f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40"/>
      <c r="L130" s="87"/>
      <c r="M130" s="88"/>
      <c r="N130" s="88"/>
      <c r="O130" s="88"/>
      <c r="P130" s="88"/>
      <c r="Q130" s="88"/>
      <c r="R130" s="88"/>
      <c r="S130" s="88"/>
      <c r="T130" s="88"/>
      <c r="Y130" s="49"/>
    </row>
    <row r="131" spans="1:25" s="41" customFormat="1" ht="48" thickBot="1">
      <c r="A131" s="64">
        <v>86</v>
      </c>
      <c r="B131" s="21" t="s">
        <v>44</v>
      </c>
      <c r="C131" s="25">
        <f>D131+E131+F131+G131+H131+I131+J131</f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40"/>
      <c r="L131" s="87"/>
      <c r="M131" s="88"/>
      <c r="N131" s="88"/>
      <c r="O131" s="88"/>
      <c r="P131" s="88"/>
      <c r="Q131" s="88"/>
      <c r="R131" s="88"/>
      <c r="S131" s="88"/>
      <c r="T131" s="88"/>
      <c r="Y131" s="49"/>
    </row>
    <row r="132" spans="1:30" s="41" customFormat="1" ht="21" customHeight="1" thickBot="1">
      <c r="A132" s="64">
        <v>87</v>
      </c>
      <c r="B132" s="21" t="s">
        <v>16</v>
      </c>
      <c r="C132" s="25">
        <f>D132+E132+F132+G132+H132+I132+J132</f>
        <v>4287.5</v>
      </c>
      <c r="D132" s="24">
        <f>2551.9+300+U132+290+1.7</f>
        <v>3420.5</v>
      </c>
      <c r="E132" s="24">
        <f>V132+W132+X132+Y132+Z132+AA132+AB132+AC132+AD132</f>
        <v>811.5</v>
      </c>
      <c r="F132" s="24">
        <v>55.5</v>
      </c>
      <c r="G132" s="24">
        <v>0</v>
      </c>
      <c r="H132" s="24">
        <v>0</v>
      </c>
      <c r="I132" s="24">
        <v>0</v>
      </c>
      <c r="J132" s="24">
        <v>0</v>
      </c>
      <c r="K132" s="40"/>
      <c r="L132" s="81">
        <f>280960-4000</f>
        <v>276960</v>
      </c>
      <c r="M132" s="82"/>
      <c r="N132" s="82"/>
      <c r="O132" s="82"/>
      <c r="P132" s="82"/>
      <c r="Q132" s="82"/>
      <c r="R132" s="82"/>
      <c r="S132" s="82"/>
      <c r="T132" s="82"/>
      <c r="U132" s="42">
        <v>276.9</v>
      </c>
      <c r="V132" s="41">
        <v>92</v>
      </c>
      <c r="W132" s="41">
        <v>505.3</v>
      </c>
      <c r="X132" s="41">
        <v>-90.8</v>
      </c>
      <c r="Y132" s="49">
        <v>250</v>
      </c>
      <c r="Z132" s="41">
        <v>202.4</v>
      </c>
      <c r="AA132" s="41">
        <v>648.2</v>
      </c>
      <c r="AB132" s="41">
        <v>-664.5</v>
      </c>
      <c r="AC132" s="41">
        <v>-202.3</v>
      </c>
      <c r="AD132" s="41">
        <v>71.2</v>
      </c>
    </row>
    <row r="133" spans="1:26" s="41" customFormat="1" ht="48" thickBot="1">
      <c r="A133" s="64">
        <v>88</v>
      </c>
      <c r="B133" s="21" t="s">
        <v>44</v>
      </c>
      <c r="C133" s="25">
        <f>D133+E133+F133+G133+H133+I133+J133</f>
        <v>2050.1</v>
      </c>
      <c r="D133" s="24">
        <f>2001.3-20.4</f>
        <v>1980.8999999999999</v>
      </c>
      <c r="E133" s="24">
        <f>Z133</f>
        <v>69.2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40"/>
      <c r="L133" s="87"/>
      <c r="M133" s="88"/>
      <c r="N133" s="88"/>
      <c r="O133" s="88"/>
      <c r="P133" s="88"/>
      <c r="Q133" s="88"/>
      <c r="R133" s="88"/>
      <c r="S133" s="88"/>
      <c r="T133" s="88"/>
      <c r="Y133" s="49"/>
      <c r="Z133" s="41">
        <v>69.2</v>
      </c>
    </row>
    <row r="134" spans="1:25" s="41" customFormat="1" ht="15.75" customHeight="1">
      <c r="A134" s="83">
        <v>89</v>
      </c>
      <c r="B134" s="27" t="s">
        <v>78</v>
      </c>
      <c r="C134" s="85">
        <f>C136+C138</f>
        <v>10105.3</v>
      </c>
      <c r="D134" s="85">
        <f aca="true" t="shared" si="48" ref="D134:J134">D136+D138</f>
        <v>2509.6</v>
      </c>
      <c r="E134" s="85">
        <f t="shared" si="48"/>
        <v>1085.1</v>
      </c>
      <c r="F134" s="85">
        <f t="shared" si="48"/>
        <v>2172.2</v>
      </c>
      <c r="G134" s="85">
        <f t="shared" si="48"/>
        <v>1084.6</v>
      </c>
      <c r="H134" s="85">
        <f t="shared" si="48"/>
        <v>1084.6</v>
      </c>
      <c r="I134" s="85">
        <f t="shared" si="48"/>
        <v>1084.6</v>
      </c>
      <c r="J134" s="85">
        <f t="shared" si="48"/>
        <v>1084.6</v>
      </c>
      <c r="K134" s="89" t="s">
        <v>90</v>
      </c>
      <c r="L134" s="87">
        <f>L136+L137+L138+L139</f>
        <v>5567</v>
      </c>
      <c r="M134" s="88"/>
      <c r="N134" s="88"/>
      <c r="O134" s="88"/>
      <c r="P134" s="88"/>
      <c r="Q134" s="88"/>
      <c r="R134" s="88"/>
      <c r="S134" s="88"/>
      <c r="T134" s="88"/>
      <c r="Y134" s="49"/>
    </row>
    <row r="135" spans="1:25" s="41" customFormat="1" ht="175.5" customHeight="1" thickBot="1">
      <c r="A135" s="84"/>
      <c r="B135" s="21" t="s">
        <v>79</v>
      </c>
      <c r="C135" s="86"/>
      <c r="D135" s="86"/>
      <c r="E135" s="86"/>
      <c r="F135" s="86"/>
      <c r="G135" s="86"/>
      <c r="H135" s="86"/>
      <c r="I135" s="86"/>
      <c r="J135" s="86"/>
      <c r="K135" s="90"/>
      <c r="L135" s="87"/>
      <c r="M135" s="88"/>
      <c r="N135" s="88"/>
      <c r="O135" s="88"/>
      <c r="P135" s="88"/>
      <c r="Q135" s="88"/>
      <c r="R135" s="88"/>
      <c r="S135" s="88"/>
      <c r="T135" s="88"/>
      <c r="U135" s="41">
        <v>5.6</v>
      </c>
      <c r="Y135" s="49"/>
    </row>
    <row r="136" spans="1:25" s="41" customFormat="1" ht="16.5" thickBot="1">
      <c r="A136" s="64">
        <v>90</v>
      </c>
      <c r="B136" s="21" t="s">
        <v>15</v>
      </c>
      <c r="C136" s="25">
        <f>D136+E136+F136+G136+H136+I136+J136</f>
        <v>1599.8</v>
      </c>
      <c r="D136" s="24">
        <f>1252+U136+U137</f>
        <v>1252</v>
      </c>
      <c r="E136" s="24">
        <f>W136</f>
        <v>347.8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40"/>
      <c r="L136" s="81">
        <f>-18108</f>
        <v>-18108</v>
      </c>
      <c r="M136" s="82"/>
      <c r="N136" s="82"/>
      <c r="O136" s="82"/>
      <c r="P136" s="82"/>
      <c r="Q136" s="82"/>
      <c r="R136" s="82"/>
      <c r="S136" s="82"/>
      <c r="T136" s="82"/>
      <c r="U136" s="42">
        <v>-18.1</v>
      </c>
      <c r="W136" s="41">
        <v>347.8</v>
      </c>
      <c r="Y136" s="49"/>
    </row>
    <row r="137" spans="1:25" s="41" customFormat="1" ht="48" thickBot="1">
      <c r="A137" s="64">
        <v>91</v>
      </c>
      <c r="B137" s="21" t="s">
        <v>44</v>
      </c>
      <c r="C137" s="25">
        <f>D137+E137+F137+G137+H137+I137+J137</f>
        <v>305.5</v>
      </c>
      <c r="D137" s="24">
        <f>287.4+U137</f>
        <v>305.5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40"/>
      <c r="L137" s="81">
        <f>18108</f>
        <v>18108</v>
      </c>
      <c r="M137" s="82"/>
      <c r="N137" s="82"/>
      <c r="O137" s="82"/>
      <c r="P137" s="82"/>
      <c r="Q137" s="82"/>
      <c r="R137" s="82"/>
      <c r="S137" s="82"/>
      <c r="T137" s="82"/>
      <c r="U137" s="42">
        <v>18.1</v>
      </c>
      <c r="Y137" s="49"/>
    </row>
    <row r="138" spans="1:27" s="41" customFormat="1" ht="21" customHeight="1" thickBot="1">
      <c r="A138" s="64">
        <v>92</v>
      </c>
      <c r="B138" s="21" t="s">
        <v>16</v>
      </c>
      <c r="C138" s="25">
        <f>D138+E138+F138+G138+H138+I138+J138</f>
        <v>8505.5</v>
      </c>
      <c r="D138" s="24">
        <f>U138+U139+1252</f>
        <v>1257.6</v>
      </c>
      <c r="E138" s="24">
        <f>1890.8+V138+W138+AA138</f>
        <v>737.3</v>
      </c>
      <c r="F138" s="24">
        <v>2172.2</v>
      </c>
      <c r="G138" s="24">
        <v>1084.6</v>
      </c>
      <c r="H138" s="24">
        <f aca="true" t="shared" si="49" ref="H138:J139">G138</f>
        <v>1084.6</v>
      </c>
      <c r="I138" s="24">
        <f t="shared" si="49"/>
        <v>1084.6</v>
      </c>
      <c r="J138" s="24">
        <f t="shared" si="49"/>
        <v>1084.6</v>
      </c>
      <c r="K138" s="40"/>
      <c r="L138" s="81">
        <f>-16541+4000</f>
        <v>-12541</v>
      </c>
      <c r="M138" s="82"/>
      <c r="N138" s="82"/>
      <c r="O138" s="82"/>
      <c r="P138" s="82"/>
      <c r="Q138" s="82"/>
      <c r="R138" s="82"/>
      <c r="S138" s="82"/>
      <c r="T138" s="82"/>
      <c r="U138" s="41">
        <v>-12.5</v>
      </c>
      <c r="W138" s="41">
        <v>-505.3</v>
      </c>
      <c r="Y138" s="49"/>
      <c r="AA138" s="41">
        <v>-648.2</v>
      </c>
    </row>
    <row r="139" spans="1:25" s="41" customFormat="1" ht="48" thickBot="1">
      <c r="A139" s="64">
        <v>93</v>
      </c>
      <c r="B139" s="21" t="s">
        <v>44</v>
      </c>
      <c r="C139" s="25">
        <f>D139+E139+F139+G139+H139+I139+J139</f>
        <v>4013.5</v>
      </c>
      <c r="D139" s="24">
        <f>287.4+U139</f>
        <v>305.5</v>
      </c>
      <c r="E139" s="24">
        <f>840.8+W139</f>
        <v>0</v>
      </c>
      <c r="F139" s="24">
        <v>0</v>
      </c>
      <c r="G139" s="24">
        <v>927</v>
      </c>
      <c r="H139" s="24">
        <f t="shared" si="49"/>
        <v>927</v>
      </c>
      <c r="I139" s="24">
        <f t="shared" si="49"/>
        <v>927</v>
      </c>
      <c r="J139" s="24">
        <f t="shared" si="49"/>
        <v>927</v>
      </c>
      <c r="K139" s="40"/>
      <c r="L139" s="81">
        <f>18108</f>
        <v>18108</v>
      </c>
      <c r="M139" s="82"/>
      <c r="N139" s="82"/>
      <c r="O139" s="82"/>
      <c r="P139" s="82"/>
      <c r="Q139" s="82"/>
      <c r="R139" s="82"/>
      <c r="S139" s="82"/>
      <c r="T139" s="82"/>
      <c r="U139" s="41">
        <v>18.1</v>
      </c>
      <c r="W139" s="41">
        <v>-840.8</v>
      </c>
      <c r="Y139" s="49"/>
    </row>
    <row r="140" spans="1:31" s="41" customFormat="1" ht="15.75" customHeight="1" hidden="1">
      <c r="A140" s="94"/>
      <c r="B140" s="12" t="s">
        <v>49</v>
      </c>
      <c r="C140" s="123">
        <f>C142+C144</f>
        <v>0</v>
      </c>
      <c r="D140" s="123">
        <f aca="true" t="shared" si="50" ref="D140:J140">D142+D144</f>
        <v>0</v>
      </c>
      <c r="E140" s="123">
        <f t="shared" si="50"/>
        <v>0</v>
      </c>
      <c r="F140" s="123">
        <f t="shared" si="50"/>
        <v>0</v>
      </c>
      <c r="G140" s="123">
        <f t="shared" si="50"/>
        <v>0</v>
      </c>
      <c r="H140" s="123">
        <f t="shared" si="50"/>
        <v>0</v>
      </c>
      <c r="I140" s="123">
        <f t="shared" si="50"/>
        <v>0</v>
      </c>
      <c r="J140" s="123">
        <f t="shared" si="50"/>
        <v>0</v>
      </c>
      <c r="K140" s="32">
        <v>34.35</v>
      </c>
      <c r="L140" s="91"/>
      <c r="M140" s="93"/>
      <c r="N140" s="93"/>
      <c r="O140" s="93"/>
      <c r="P140" s="93"/>
      <c r="Q140" s="93"/>
      <c r="R140" s="93"/>
      <c r="S140" s="93"/>
      <c r="T140" s="93"/>
      <c r="U140"/>
      <c r="V140"/>
      <c r="W140"/>
      <c r="X140"/>
      <c r="Y140" s="49"/>
      <c r="AC140"/>
      <c r="AD140"/>
      <c r="AE140"/>
    </row>
    <row r="141" spans="1:31" s="41" customFormat="1" ht="104.25" customHeight="1" hidden="1" thickBot="1">
      <c r="A141" s="95"/>
      <c r="B141" s="8" t="s">
        <v>58</v>
      </c>
      <c r="C141" s="124"/>
      <c r="D141" s="124"/>
      <c r="E141" s="124"/>
      <c r="F141" s="124"/>
      <c r="G141" s="124"/>
      <c r="H141" s="124"/>
      <c r="I141" s="124"/>
      <c r="J141" s="124"/>
      <c r="K141" s="32"/>
      <c r="L141" s="91"/>
      <c r="M141" s="93"/>
      <c r="N141" s="93"/>
      <c r="O141" s="93"/>
      <c r="P141" s="93"/>
      <c r="Q141" s="93"/>
      <c r="R141" s="93"/>
      <c r="S141" s="93"/>
      <c r="T141" s="93"/>
      <c r="U141"/>
      <c r="V141"/>
      <c r="W141"/>
      <c r="X141"/>
      <c r="Y141" s="49"/>
      <c r="AC141"/>
      <c r="AD141"/>
      <c r="AE141"/>
    </row>
    <row r="142" spans="1:31" s="41" customFormat="1" ht="16.5" customHeight="1" hidden="1" thickBot="1">
      <c r="A142" s="63"/>
      <c r="B142" s="8" t="s">
        <v>15</v>
      </c>
      <c r="C142" s="16">
        <f>D142+E142+F142+G142+H142+I142+J142</f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32"/>
      <c r="L142" s="91"/>
      <c r="M142" s="93"/>
      <c r="N142" s="93"/>
      <c r="O142" s="93"/>
      <c r="P142" s="93"/>
      <c r="Q142" s="93"/>
      <c r="R142" s="93"/>
      <c r="S142" s="93"/>
      <c r="T142" s="93"/>
      <c r="U142"/>
      <c r="V142"/>
      <c r="W142"/>
      <c r="X142"/>
      <c r="Y142" s="49"/>
      <c r="AC142"/>
      <c r="AD142"/>
      <c r="AE142"/>
    </row>
    <row r="143" spans="1:31" s="41" customFormat="1" ht="48" customHeight="1" hidden="1" thickBot="1">
      <c r="A143" s="63"/>
      <c r="B143" s="8" t="s">
        <v>44</v>
      </c>
      <c r="C143" s="16">
        <f>D143+E143+F143+G143+H143+I143+J143</f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32"/>
      <c r="L143" s="91"/>
      <c r="M143" s="93"/>
      <c r="N143" s="93"/>
      <c r="O143" s="93"/>
      <c r="P143" s="93"/>
      <c r="Q143" s="93"/>
      <c r="R143" s="93"/>
      <c r="S143" s="93"/>
      <c r="T143" s="93"/>
      <c r="U143"/>
      <c r="V143"/>
      <c r="W143"/>
      <c r="X143"/>
      <c r="Y143" s="49"/>
      <c r="AC143"/>
      <c r="AD143"/>
      <c r="AE143"/>
    </row>
    <row r="144" spans="1:31" s="41" customFormat="1" ht="16.5" customHeight="1" hidden="1" thickBot="1">
      <c r="A144" s="63"/>
      <c r="B144" s="8" t="s">
        <v>16</v>
      </c>
      <c r="C144" s="16">
        <f>D144+E144+F144+G144+H144+I144+J144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2"/>
      <c r="L144" s="91"/>
      <c r="M144" s="93"/>
      <c r="N144" s="93"/>
      <c r="O144" s="93"/>
      <c r="P144" s="93"/>
      <c r="Q144" s="93"/>
      <c r="R144" s="93"/>
      <c r="S144" s="93"/>
      <c r="T144" s="93"/>
      <c r="U144"/>
      <c r="V144"/>
      <c r="W144"/>
      <c r="X144"/>
      <c r="Y144" s="49"/>
      <c r="AC144"/>
      <c r="AD144"/>
      <c r="AE144"/>
    </row>
    <row r="145" spans="1:31" s="41" customFormat="1" ht="48" customHeight="1" hidden="1" thickBot="1">
      <c r="A145" s="63"/>
      <c r="B145" s="8" t="s">
        <v>44</v>
      </c>
      <c r="C145" s="16">
        <f>D145+E145+F145+G145+H145+I145+J145</f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0"/>
      <c r="L145" s="91"/>
      <c r="M145" s="93"/>
      <c r="N145" s="93"/>
      <c r="O145" s="93"/>
      <c r="P145" s="93"/>
      <c r="Q145" s="93"/>
      <c r="R145" s="93"/>
      <c r="S145" s="93"/>
      <c r="T145" s="93"/>
      <c r="U145"/>
      <c r="V145"/>
      <c r="W145"/>
      <c r="X145"/>
      <c r="Y145" s="49"/>
      <c r="AC145"/>
      <c r="AD145"/>
      <c r="AE145"/>
    </row>
    <row r="146" spans="1:31" s="41" customFormat="1" ht="95.25" thickBot="1">
      <c r="A146" s="63">
        <v>94</v>
      </c>
      <c r="B146" s="31" t="s">
        <v>82</v>
      </c>
      <c r="C146" s="16">
        <f>C147+C149</f>
        <v>0</v>
      </c>
      <c r="D146" s="16">
        <f aca="true" t="shared" si="51" ref="D146:J146">D147+D149</f>
        <v>0</v>
      </c>
      <c r="E146" s="16">
        <f t="shared" si="51"/>
        <v>0</v>
      </c>
      <c r="F146" s="16">
        <f t="shared" si="51"/>
        <v>0</v>
      </c>
      <c r="G146" s="16">
        <f t="shared" si="51"/>
        <v>0</v>
      </c>
      <c r="H146" s="16">
        <f t="shared" si="51"/>
        <v>0</v>
      </c>
      <c r="I146" s="16">
        <f t="shared" si="51"/>
        <v>0</v>
      </c>
      <c r="J146" s="16">
        <f t="shared" si="51"/>
        <v>0</v>
      </c>
      <c r="K146" s="10">
        <v>34.35</v>
      </c>
      <c r="L146" s="91"/>
      <c r="M146" s="92"/>
      <c r="N146" s="92"/>
      <c r="O146" s="92"/>
      <c r="P146" s="92"/>
      <c r="Q146" s="92"/>
      <c r="R146" s="92"/>
      <c r="S146" s="92"/>
      <c r="T146" s="92"/>
      <c r="U146"/>
      <c r="V146"/>
      <c r="W146"/>
      <c r="X146"/>
      <c r="Y146" s="49"/>
      <c r="AC146"/>
      <c r="AD146"/>
      <c r="AE146"/>
    </row>
    <row r="147" spans="1:31" s="41" customFormat="1" ht="16.5" thickBot="1">
      <c r="A147" s="63">
        <v>95</v>
      </c>
      <c r="B147" s="8" t="s">
        <v>15</v>
      </c>
      <c r="C147" s="16">
        <f>D147+E147+F147+G147+H147+I147+J147</f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0"/>
      <c r="L147" s="91"/>
      <c r="M147" s="92"/>
      <c r="N147" s="92"/>
      <c r="O147" s="92"/>
      <c r="P147" s="92"/>
      <c r="Q147" s="92"/>
      <c r="R147" s="92"/>
      <c r="S147" s="92"/>
      <c r="T147" s="92"/>
      <c r="U147"/>
      <c r="V147"/>
      <c r="W147"/>
      <c r="X147"/>
      <c r="Y147" s="49"/>
      <c r="AC147"/>
      <c r="AD147"/>
      <c r="AE147"/>
    </row>
    <row r="148" spans="1:31" s="41" customFormat="1" ht="48" thickBot="1">
      <c r="A148" s="63">
        <v>96</v>
      </c>
      <c r="B148" s="8" t="s">
        <v>44</v>
      </c>
      <c r="C148" s="16">
        <f>D148+E148+F148+G148+H148+I148+J148</f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0"/>
      <c r="L148" s="91"/>
      <c r="M148" s="92"/>
      <c r="N148" s="92"/>
      <c r="O148" s="92"/>
      <c r="P148" s="92"/>
      <c r="Q148" s="92"/>
      <c r="R148" s="92"/>
      <c r="S148" s="92"/>
      <c r="T148" s="92"/>
      <c r="U148"/>
      <c r="V148"/>
      <c r="W148"/>
      <c r="X148"/>
      <c r="Y148" s="49"/>
      <c r="AC148"/>
      <c r="AD148"/>
      <c r="AE148"/>
    </row>
    <row r="149" spans="1:31" s="41" customFormat="1" ht="16.5" thickBot="1">
      <c r="A149" s="63">
        <v>97</v>
      </c>
      <c r="B149" s="8" t="s">
        <v>16</v>
      </c>
      <c r="C149" s="16">
        <f>D149+E149+F149+G149+H149+I149+J149</f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0"/>
      <c r="L149" s="91"/>
      <c r="M149" s="92"/>
      <c r="N149" s="92"/>
      <c r="O149" s="92"/>
      <c r="P149" s="92"/>
      <c r="Q149" s="92"/>
      <c r="R149" s="92"/>
      <c r="S149" s="92"/>
      <c r="T149" s="92"/>
      <c r="U149"/>
      <c r="V149"/>
      <c r="W149"/>
      <c r="X149"/>
      <c r="Y149" s="49"/>
      <c r="AC149"/>
      <c r="AD149"/>
      <c r="AE149"/>
    </row>
    <row r="150" spans="1:31" s="41" customFormat="1" ht="48" thickBot="1">
      <c r="A150" s="63">
        <v>98</v>
      </c>
      <c r="B150" s="8" t="s">
        <v>44</v>
      </c>
      <c r="C150" s="16">
        <f>D150+E150+F150+G150+H150+I150+J150</f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0"/>
      <c r="L150" s="91"/>
      <c r="M150" s="92"/>
      <c r="N150" s="92"/>
      <c r="O150" s="92"/>
      <c r="P150" s="92"/>
      <c r="Q150" s="92"/>
      <c r="R150" s="92"/>
      <c r="S150" s="92"/>
      <c r="T150" s="92"/>
      <c r="U150"/>
      <c r="V150"/>
      <c r="W150"/>
      <c r="X150"/>
      <c r="Y150" s="49"/>
      <c r="AC150"/>
      <c r="AD150"/>
      <c r="AE150"/>
    </row>
    <row r="151" spans="1:25" s="41" customFormat="1" ht="15.75" customHeight="1">
      <c r="A151" s="83">
        <v>99</v>
      </c>
      <c r="B151" s="27" t="s">
        <v>99</v>
      </c>
      <c r="C151" s="85">
        <f>C156+C158+C154</f>
        <v>1412.6</v>
      </c>
      <c r="D151" s="85">
        <f>D156+D158+D154</f>
        <v>0</v>
      </c>
      <c r="E151" s="85">
        <f aca="true" t="shared" si="52" ref="E151:J151">E156+E158+E154</f>
        <v>1212.6</v>
      </c>
      <c r="F151" s="85">
        <f t="shared" si="52"/>
        <v>200</v>
      </c>
      <c r="G151" s="85">
        <f t="shared" si="52"/>
        <v>0</v>
      </c>
      <c r="H151" s="85">
        <f t="shared" si="52"/>
        <v>0</v>
      </c>
      <c r="I151" s="85">
        <f t="shared" si="52"/>
        <v>0</v>
      </c>
      <c r="J151" s="85">
        <f t="shared" si="52"/>
        <v>0</v>
      </c>
      <c r="K151" s="89">
        <v>31.32</v>
      </c>
      <c r="L151" s="87">
        <f>L156+L157+L158+L159</f>
        <v>5567</v>
      </c>
      <c r="M151" s="88"/>
      <c r="N151" s="88"/>
      <c r="O151" s="88"/>
      <c r="P151" s="88"/>
      <c r="Q151" s="88"/>
      <c r="R151" s="88"/>
      <c r="S151" s="88"/>
      <c r="T151" s="88"/>
      <c r="Y151" s="49"/>
    </row>
    <row r="152" spans="1:25" s="41" customFormat="1" ht="116.25" customHeight="1" thickBot="1">
      <c r="A152" s="84"/>
      <c r="B152" s="21" t="s">
        <v>102</v>
      </c>
      <c r="C152" s="86"/>
      <c r="D152" s="86"/>
      <c r="E152" s="86"/>
      <c r="F152" s="86"/>
      <c r="G152" s="86"/>
      <c r="H152" s="86"/>
      <c r="I152" s="86"/>
      <c r="J152" s="86"/>
      <c r="K152" s="90"/>
      <c r="L152" s="87"/>
      <c r="M152" s="88"/>
      <c r="N152" s="88"/>
      <c r="O152" s="88"/>
      <c r="P152" s="88"/>
      <c r="Q152" s="88"/>
      <c r="R152" s="88"/>
      <c r="S152" s="88"/>
      <c r="T152" s="88"/>
      <c r="U152" s="41">
        <v>5.6</v>
      </c>
      <c r="Y152" s="49"/>
    </row>
    <row r="153" spans="1:25" s="41" customFormat="1" ht="71.25" customHeight="1" thickBot="1">
      <c r="A153" s="64">
        <v>100</v>
      </c>
      <c r="B153" s="51" t="s">
        <v>103</v>
      </c>
      <c r="C153" s="25">
        <v>1508.3</v>
      </c>
      <c r="D153" s="25">
        <v>0</v>
      </c>
      <c r="E153" s="25">
        <v>1508.3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50"/>
      <c r="L153" s="65"/>
      <c r="M153" s="66"/>
      <c r="N153" s="66"/>
      <c r="O153" s="66"/>
      <c r="P153" s="66"/>
      <c r="Q153" s="66"/>
      <c r="R153" s="66"/>
      <c r="S153" s="66"/>
      <c r="T153" s="66"/>
      <c r="Y153" s="49"/>
    </row>
    <row r="154" spans="1:25" s="41" customFormat="1" ht="16.5" thickBot="1">
      <c r="A154" s="64">
        <v>101</v>
      </c>
      <c r="B154" s="21" t="s">
        <v>98</v>
      </c>
      <c r="C154" s="25">
        <f aca="true" t="shared" si="53" ref="C154:C159">D154+E154+F154+G154+H154+I154+J154</f>
        <v>545.4</v>
      </c>
      <c r="D154" s="24">
        <v>0</v>
      </c>
      <c r="E154" s="24">
        <v>545.4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40"/>
      <c r="L154" s="81">
        <f>-18108</f>
        <v>-18108</v>
      </c>
      <c r="M154" s="82"/>
      <c r="N154" s="82"/>
      <c r="O154" s="82"/>
      <c r="P154" s="82"/>
      <c r="Q154" s="82"/>
      <c r="R154" s="82"/>
      <c r="S154" s="82"/>
      <c r="T154" s="82"/>
      <c r="U154" s="42">
        <v>-18.1</v>
      </c>
      <c r="Y154" s="49">
        <v>545.5</v>
      </c>
    </row>
    <row r="155" spans="1:25" s="41" customFormat="1" ht="48" thickBot="1">
      <c r="A155" s="64">
        <v>102</v>
      </c>
      <c r="B155" s="21" t="s">
        <v>44</v>
      </c>
      <c r="C155" s="25">
        <f t="shared" si="53"/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40"/>
      <c r="L155" s="81">
        <f>18108</f>
        <v>18108</v>
      </c>
      <c r="M155" s="82"/>
      <c r="N155" s="82"/>
      <c r="O155" s="82"/>
      <c r="P155" s="82"/>
      <c r="Q155" s="82"/>
      <c r="R155" s="82"/>
      <c r="S155" s="82"/>
      <c r="T155" s="82"/>
      <c r="U155" s="42">
        <v>18.1</v>
      </c>
      <c r="Y155" s="49"/>
    </row>
    <row r="156" spans="1:25" s="41" customFormat="1" ht="16.5" thickBot="1">
      <c r="A156" s="64">
        <v>103</v>
      </c>
      <c r="B156" s="21" t="s">
        <v>15</v>
      </c>
      <c r="C156" s="25">
        <f t="shared" si="53"/>
        <v>512.8</v>
      </c>
      <c r="D156" s="24">
        <v>0</v>
      </c>
      <c r="E156" s="24">
        <f>Y156</f>
        <v>512.8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40"/>
      <c r="L156" s="81">
        <f>-18108</f>
        <v>-18108</v>
      </c>
      <c r="M156" s="82"/>
      <c r="N156" s="82"/>
      <c r="O156" s="82"/>
      <c r="P156" s="82"/>
      <c r="Q156" s="82"/>
      <c r="R156" s="82"/>
      <c r="S156" s="82"/>
      <c r="T156" s="82"/>
      <c r="U156" s="42">
        <v>-18.1</v>
      </c>
      <c r="Y156" s="49">
        <v>512.8</v>
      </c>
    </row>
    <row r="157" spans="1:25" s="41" customFormat="1" ht="48" thickBot="1">
      <c r="A157" s="64">
        <v>104</v>
      </c>
      <c r="B157" s="21" t="s">
        <v>44</v>
      </c>
      <c r="C157" s="25">
        <f t="shared" si="53"/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40"/>
      <c r="L157" s="81">
        <f>18108</f>
        <v>18108</v>
      </c>
      <c r="M157" s="82"/>
      <c r="N157" s="82"/>
      <c r="O157" s="82"/>
      <c r="P157" s="82"/>
      <c r="Q157" s="82"/>
      <c r="R157" s="82"/>
      <c r="S157" s="82"/>
      <c r="T157" s="82"/>
      <c r="U157" s="42">
        <v>18.1</v>
      </c>
      <c r="Y157" s="49"/>
    </row>
    <row r="158" spans="1:29" s="41" customFormat="1" ht="21" customHeight="1" thickBot="1">
      <c r="A158" s="64">
        <v>105</v>
      </c>
      <c r="B158" s="21" t="s">
        <v>16</v>
      </c>
      <c r="C158" s="25">
        <f t="shared" si="53"/>
        <v>354.4</v>
      </c>
      <c r="D158" s="24">
        <v>0</v>
      </c>
      <c r="E158" s="24">
        <f>V158+Y158+AB158+AC158</f>
        <v>154.39999999999998</v>
      </c>
      <c r="F158" s="24">
        <v>200</v>
      </c>
      <c r="G158" s="24">
        <v>0</v>
      </c>
      <c r="H158" s="24">
        <v>0</v>
      </c>
      <c r="I158" s="24">
        <f>H158</f>
        <v>0</v>
      </c>
      <c r="J158" s="24">
        <f>I158</f>
        <v>0</v>
      </c>
      <c r="K158" s="40"/>
      <c r="L158" s="81">
        <f>-16541+4000</f>
        <v>-12541</v>
      </c>
      <c r="M158" s="82"/>
      <c r="N158" s="82"/>
      <c r="O158" s="82"/>
      <c r="P158" s="82"/>
      <c r="Q158" s="82"/>
      <c r="R158" s="82"/>
      <c r="S158" s="82"/>
      <c r="T158" s="82"/>
      <c r="U158" s="41">
        <v>-12.5</v>
      </c>
      <c r="V158" s="41">
        <v>700</v>
      </c>
      <c r="Y158" s="49">
        <v>-250</v>
      </c>
      <c r="AB158" s="41">
        <v>-292.3</v>
      </c>
      <c r="AC158" s="41">
        <v>-3.3</v>
      </c>
    </row>
    <row r="159" spans="1:25" s="41" customFormat="1" ht="48" thickBot="1">
      <c r="A159" s="64">
        <v>106</v>
      </c>
      <c r="B159" s="21" t="s">
        <v>44</v>
      </c>
      <c r="C159" s="25">
        <f t="shared" si="53"/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f>H159</f>
        <v>0</v>
      </c>
      <c r="J159" s="24">
        <f>I159</f>
        <v>0</v>
      </c>
      <c r="K159" s="40"/>
      <c r="L159" s="81">
        <f>18108</f>
        <v>18108</v>
      </c>
      <c r="M159" s="82"/>
      <c r="N159" s="82"/>
      <c r="O159" s="82"/>
      <c r="P159" s="82"/>
      <c r="Q159" s="82"/>
      <c r="R159" s="82"/>
      <c r="S159" s="82"/>
      <c r="T159" s="82"/>
      <c r="U159" s="41">
        <v>18.1</v>
      </c>
      <c r="Y159" s="49"/>
    </row>
    <row r="160" spans="1:25" s="41" customFormat="1" ht="15.75" customHeight="1">
      <c r="A160" s="83">
        <v>107</v>
      </c>
      <c r="B160" s="27" t="s">
        <v>100</v>
      </c>
      <c r="C160" s="85">
        <f aca="true" t="shared" si="54" ref="C160:J160">C164+C166+C162</f>
        <v>1087.9</v>
      </c>
      <c r="D160" s="85">
        <f t="shared" si="54"/>
        <v>0</v>
      </c>
      <c r="E160" s="85">
        <f t="shared" si="54"/>
        <v>1087.9</v>
      </c>
      <c r="F160" s="85">
        <f t="shared" si="54"/>
        <v>0</v>
      </c>
      <c r="G160" s="85">
        <f t="shared" si="54"/>
        <v>0</v>
      </c>
      <c r="H160" s="85">
        <f t="shared" si="54"/>
        <v>0</v>
      </c>
      <c r="I160" s="85">
        <f t="shared" si="54"/>
        <v>0</v>
      </c>
      <c r="J160" s="85">
        <f t="shared" si="54"/>
        <v>0</v>
      </c>
      <c r="K160" s="89"/>
      <c r="L160" s="87">
        <f>L164+L165+L166+L167</f>
        <v>5567</v>
      </c>
      <c r="M160" s="88"/>
      <c r="N160" s="88"/>
      <c r="O160" s="88"/>
      <c r="P160" s="88"/>
      <c r="Q160" s="88"/>
      <c r="R160" s="88"/>
      <c r="S160" s="88"/>
      <c r="T160" s="88"/>
      <c r="Y160" s="49"/>
    </row>
    <row r="161" spans="1:25" s="41" customFormat="1" ht="74.25" customHeight="1" thickBot="1">
      <c r="A161" s="84"/>
      <c r="B161" s="21" t="s">
        <v>101</v>
      </c>
      <c r="C161" s="86"/>
      <c r="D161" s="86"/>
      <c r="E161" s="86"/>
      <c r="F161" s="86"/>
      <c r="G161" s="86"/>
      <c r="H161" s="86"/>
      <c r="I161" s="86"/>
      <c r="J161" s="86"/>
      <c r="K161" s="90"/>
      <c r="L161" s="87"/>
      <c r="M161" s="88"/>
      <c r="N161" s="88"/>
      <c r="O161" s="88"/>
      <c r="P161" s="88"/>
      <c r="Q161" s="88"/>
      <c r="R161" s="88"/>
      <c r="S161" s="88"/>
      <c r="T161" s="88"/>
      <c r="U161" s="41">
        <v>5.6</v>
      </c>
      <c r="Y161" s="49"/>
    </row>
    <row r="162" spans="1:28" s="41" customFormat="1" ht="16.5" thickBot="1">
      <c r="A162" s="64">
        <v>108</v>
      </c>
      <c r="B162" s="21" t="s">
        <v>98</v>
      </c>
      <c r="C162" s="25">
        <f aca="true" t="shared" si="55" ref="C162:C167">D162+E162+F162+G162+H162+I162+J162</f>
        <v>698</v>
      </c>
      <c r="D162" s="24">
        <v>0</v>
      </c>
      <c r="E162" s="24">
        <f>Y162+AB162</f>
        <v>698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40"/>
      <c r="L162" s="81">
        <f>-18108</f>
        <v>-18108</v>
      </c>
      <c r="M162" s="82"/>
      <c r="N162" s="82"/>
      <c r="O162" s="82"/>
      <c r="P162" s="82"/>
      <c r="Q162" s="82"/>
      <c r="R162" s="82"/>
      <c r="S162" s="82"/>
      <c r="T162" s="82"/>
      <c r="U162" s="42">
        <v>-18.1</v>
      </c>
      <c r="Y162" s="49"/>
      <c r="AB162" s="41">
        <v>698</v>
      </c>
    </row>
    <row r="163" spans="1:28" s="41" customFormat="1" ht="48" thickBot="1">
      <c r="A163" s="64">
        <v>109</v>
      </c>
      <c r="B163" s="21" t="s">
        <v>44</v>
      </c>
      <c r="C163" s="25">
        <f t="shared" si="55"/>
        <v>698</v>
      </c>
      <c r="D163" s="24">
        <v>0</v>
      </c>
      <c r="E163" s="24">
        <f>AB163</f>
        <v>698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40"/>
      <c r="L163" s="81">
        <f>18108</f>
        <v>18108</v>
      </c>
      <c r="M163" s="82"/>
      <c r="N163" s="82"/>
      <c r="O163" s="82"/>
      <c r="P163" s="82"/>
      <c r="Q163" s="82"/>
      <c r="R163" s="82"/>
      <c r="S163" s="82"/>
      <c r="T163" s="82"/>
      <c r="U163" s="42">
        <v>18.1</v>
      </c>
      <c r="Y163" s="49"/>
      <c r="AB163" s="41">
        <v>698</v>
      </c>
    </row>
    <row r="164" spans="1:28" s="41" customFormat="1" ht="16.5" thickBot="1">
      <c r="A164" s="64">
        <v>110</v>
      </c>
      <c r="B164" s="21" t="s">
        <v>15</v>
      </c>
      <c r="C164" s="25">
        <f t="shared" si="55"/>
        <v>299.2</v>
      </c>
      <c r="D164" s="24">
        <v>0</v>
      </c>
      <c r="E164" s="24">
        <f>Y164+AB164</f>
        <v>299.2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40"/>
      <c r="L164" s="81">
        <f>-18108</f>
        <v>-18108</v>
      </c>
      <c r="M164" s="82"/>
      <c r="N164" s="82"/>
      <c r="O164" s="82"/>
      <c r="P164" s="82"/>
      <c r="Q164" s="82"/>
      <c r="R164" s="82"/>
      <c r="S164" s="82"/>
      <c r="T164" s="82"/>
      <c r="U164" s="42">
        <v>-18.1</v>
      </c>
      <c r="Y164" s="49"/>
      <c r="AB164" s="41">
        <v>299.2</v>
      </c>
    </row>
    <row r="165" spans="1:28" s="41" customFormat="1" ht="48" thickBot="1">
      <c r="A165" s="64">
        <v>111</v>
      </c>
      <c r="B165" s="21" t="s">
        <v>44</v>
      </c>
      <c r="C165" s="25">
        <f t="shared" si="55"/>
        <v>299.2</v>
      </c>
      <c r="D165" s="24">
        <v>0</v>
      </c>
      <c r="E165" s="24">
        <f>AB165</f>
        <v>299.2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40"/>
      <c r="L165" s="81">
        <f>18108</f>
        <v>18108</v>
      </c>
      <c r="M165" s="82"/>
      <c r="N165" s="82"/>
      <c r="O165" s="82"/>
      <c r="P165" s="82"/>
      <c r="Q165" s="82"/>
      <c r="R165" s="82"/>
      <c r="S165" s="82"/>
      <c r="T165" s="82"/>
      <c r="U165" s="42">
        <v>18.1</v>
      </c>
      <c r="Y165" s="49"/>
      <c r="AB165" s="41">
        <v>299.2</v>
      </c>
    </row>
    <row r="166" spans="1:25" s="41" customFormat="1" ht="21" customHeight="1" thickBot="1">
      <c r="A166" s="64">
        <v>112</v>
      </c>
      <c r="B166" s="21" t="s">
        <v>16</v>
      </c>
      <c r="C166" s="25">
        <f t="shared" si="55"/>
        <v>90.7</v>
      </c>
      <c r="D166" s="24">
        <v>0</v>
      </c>
      <c r="E166" s="24">
        <f>V166+Y166</f>
        <v>90.7</v>
      </c>
      <c r="F166" s="24">
        <v>0</v>
      </c>
      <c r="G166" s="24">
        <v>0</v>
      </c>
      <c r="H166" s="24">
        <v>0</v>
      </c>
      <c r="I166" s="24">
        <f>H166</f>
        <v>0</v>
      </c>
      <c r="J166" s="24">
        <f>I166</f>
        <v>0</v>
      </c>
      <c r="K166" s="40"/>
      <c r="L166" s="81">
        <f>-16541+4000</f>
        <v>-12541</v>
      </c>
      <c r="M166" s="82"/>
      <c r="N166" s="82"/>
      <c r="O166" s="82"/>
      <c r="P166" s="82"/>
      <c r="Q166" s="82"/>
      <c r="R166" s="82"/>
      <c r="S166" s="82"/>
      <c r="T166" s="82"/>
      <c r="U166" s="41">
        <v>-12.5</v>
      </c>
      <c r="Y166" s="49">
        <v>90.7</v>
      </c>
    </row>
    <row r="167" spans="1:25" s="41" customFormat="1" ht="48" thickBot="1">
      <c r="A167" s="64">
        <v>113</v>
      </c>
      <c r="B167" s="21" t="s">
        <v>44</v>
      </c>
      <c r="C167" s="25">
        <f t="shared" si="55"/>
        <v>90.7</v>
      </c>
      <c r="D167" s="24">
        <v>0</v>
      </c>
      <c r="E167" s="24">
        <f>V167+Y167</f>
        <v>90.7</v>
      </c>
      <c r="F167" s="24">
        <v>0</v>
      </c>
      <c r="G167" s="24">
        <v>0</v>
      </c>
      <c r="H167" s="24">
        <v>0</v>
      </c>
      <c r="I167" s="24">
        <f>H167</f>
        <v>0</v>
      </c>
      <c r="J167" s="24">
        <f>I167</f>
        <v>0</v>
      </c>
      <c r="K167" s="40"/>
      <c r="L167" s="81">
        <f>18108</f>
        <v>18108</v>
      </c>
      <c r="M167" s="82"/>
      <c r="N167" s="82"/>
      <c r="O167" s="82"/>
      <c r="P167" s="82"/>
      <c r="Q167" s="82"/>
      <c r="R167" s="82"/>
      <c r="S167" s="82"/>
      <c r="T167" s="82"/>
      <c r="U167" s="41">
        <v>18.1</v>
      </c>
      <c r="Y167" s="49">
        <v>90.7</v>
      </c>
    </row>
    <row r="168" spans="1:20" ht="31.5" customHeight="1" thickBot="1">
      <c r="A168" s="63">
        <v>114</v>
      </c>
      <c r="B168" s="120" t="s">
        <v>27</v>
      </c>
      <c r="C168" s="121"/>
      <c r="D168" s="121"/>
      <c r="E168" s="121"/>
      <c r="F168" s="121"/>
      <c r="G168" s="121"/>
      <c r="H168" s="121"/>
      <c r="I168" s="121"/>
      <c r="J168" s="121"/>
      <c r="K168" s="122"/>
      <c r="L168" s="91"/>
      <c r="M168" s="92"/>
      <c r="N168" s="92"/>
      <c r="O168" s="92"/>
      <c r="P168" s="92"/>
      <c r="Q168" s="92"/>
      <c r="R168" s="92"/>
      <c r="S168" s="92"/>
      <c r="T168" s="92"/>
    </row>
    <row r="169" spans="1:31" s="41" customFormat="1" ht="48" thickBot="1">
      <c r="A169" s="63">
        <v>115</v>
      </c>
      <c r="B169" s="8" t="s">
        <v>20</v>
      </c>
      <c r="C169" s="23">
        <f>C170+C172</f>
        <v>131588.30000000002</v>
      </c>
      <c r="D169" s="23">
        <f aca="true" t="shared" si="56" ref="D169:J169">D170+D172</f>
        <v>14509.700000000003</v>
      </c>
      <c r="E169" s="23">
        <f t="shared" si="56"/>
        <v>17940.399999999998</v>
      </c>
      <c r="F169" s="23">
        <f>F170+F172+F200</f>
        <v>22104.9</v>
      </c>
      <c r="G169" s="23">
        <f t="shared" si="56"/>
        <v>19288</v>
      </c>
      <c r="H169" s="23">
        <f t="shared" si="56"/>
        <v>19288</v>
      </c>
      <c r="I169" s="23">
        <f t="shared" si="56"/>
        <v>19288</v>
      </c>
      <c r="J169" s="23">
        <f t="shared" si="56"/>
        <v>19288</v>
      </c>
      <c r="K169" s="32"/>
      <c r="L169" s="91"/>
      <c r="M169" s="92"/>
      <c r="N169" s="92"/>
      <c r="O169" s="92"/>
      <c r="P169" s="92"/>
      <c r="Q169" s="92"/>
      <c r="R169" s="92"/>
      <c r="S169" s="92"/>
      <c r="T169" s="92"/>
      <c r="U169"/>
      <c r="V169"/>
      <c r="W169"/>
      <c r="X169"/>
      <c r="Y169" s="49"/>
      <c r="AC169"/>
      <c r="AD169"/>
      <c r="AE169"/>
    </row>
    <row r="170" spans="1:31" s="41" customFormat="1" ht="16.5" thickBot="1">
      <c r="A170" s="63">
        <v>116</v>
      </c>
      <c r="B170" s="8" t="s">
        <v>15</v>
      </c>
      <c r="C170" s="22">
        <f aca="true" t="shared" si="57" ref="C170:J171">C178+C196+C191</f>
        <v>66.6</v>
      </c>
      <c r="D170" s="22">
        <f t="shared" si="57"/>
        <v>66.6</v>
      </c>
      <c r="E170" s="22">
        <f t="shared" si="57"/>
        <v>0</v>
      </c>
      <c r="F170" s="22">
        <f t="shared" si="57"/>
        <v>0</v>
      </c>
      <c r="G170" s="22">
        <f t="shared" si="57"/>
        <v>0</v>
      </c>
      <c r="H170" s="22">
        <f t="shared" si="57"/>
        <v>0</v>
      </c>
      <c r="I170" s="22">
        <f t="shared" si="57"/>
        <v>0</v>
      </c>
      <c r="J170" s="22">
        <f t="shared" si="57"/>
        <v>0</v>
      </c>
      <c r="K170" s="32"/>
      <c r="L170" s="91"/>
      <c r="M170" s="92"/>
      <c r="N170" s="92"/>
      <c r="O170" s="92"/>
      <c r="P170" s="92"/>
      <c r="Q170" s="92"/>
      <c r="R170" s="92"/>
      <c r="S170" s="92"/>
      <c r="T170" s="92"/>
      <c r="U170"/>
      <c r="V170"/>
      <c r="W170"/>
      <c r="X170"/>
      <c r="Y170" s="49"/>
      <c r="AC170"/>
      <c r="AD170"/>
      <c r="AE170"/>
    </row>
    <row r="171" spans="1:31" s="41" customFormat="1" ht="48" thickBot="1">
      <c r="A171" s="63">
        <v>117</v>
      </c>
      <c r="B171" s="8" t="s">
        <v>44</v>
      </c>
      <c r="C171" s="22">
        <f t="shared" si="57"/>
        <v>66.6</v>
      </c>
      <c r="D171" s="22">
        <f t="shared" si="57"/>
        <v>66.6</v>
      </c>
      <c r="E171" s="22">
        <f t="shared" si="57"/>
        <v>0</v>
      </c>
      <c r="F171" s="22">
        <f t="shared" si="57"/>
        <v>0</v>
      </c>
      <c r="G171" s="22">
        <f t="shared" si="57"/>
        <v>0</v>
      </c>
      <c r="H171" s="22">
        <f t="shared" si="57"/>
        <v>0</v>
      </c>
      <c r="I171" s="22">
        <f t="shared" si="57"/>
        <v>0</v>
      </c>
      <c r="J171" s="22">
        <f t="shared" si="57"/>
        <v>0</v>
      </c>
      <c r="K171" s="32"/>
      <c r="L171" s="91"/>
      <c r="M171" s="92"/>
      <c r="N171" s="92"/>
      <c r="O171" s="92"/>
      <c r="P171" s="92"/>
      <c r="Q171" s="92"/>
      <c r="R171" s="92"/>
      <c r="S171" s="92"/>
      <c r="T171" s="92"/>
      <c r="U171"/>
      <c r="V171"/>
      <c r="W171"/>
      <c r="X171"/>
      <c r="Y171" s="49"/>
      <c r="AC171"/>
      <c r="AD171"/>
      <c r="AE171"/>
    </row>
    <row r="172" spans="1:31" s="41" customFormat="1" ht="16.5" thickBot="1">
      <c r="A172" s="63">
        <v>118</v>
      </c>
      <c r="B172" s="8" t="s">
        <v>16</v>
      </c>
      <c r="C172" s="22">
        <f aca="true" t="shared" si="58" ref="C172:J173">C180+C184+C187+C193+C198</f>
        <v>131521.7</v>
      </c>
      <c r="D172" s="43">
        <f t="shared" si="58"/>
        <v>14443.100000000002</v>
      </c>
      <c r="E172" s="22">
        <f t="shared" si="58"/>
        <v>17940.399999999998</v>
      </c>
      <c r="F172" s="22">
        <f t="shared" si="58"/>
        <v>21986.2</v>
      </c>
      <c r="G172" s="22">
        <f t="shared" si="58"/>
        <v>19288</v>
      </c>
      <c r="H172" s="22">
        <f t="shared" si="58"/>
        <v>19288</v>
      </c>
      <c r="I172" s="22">
        <f t="shared" si="58"/>
        <v>19288</v>
      </c>
      <c r="J172" s="22">
        <f t="shared" si="58"/>
        <v>19288</v>
      </c>
      <c r="K172" s="32"/>
      <c r="L172" s="91"/>
      <c r="M172" s="92"/>
      <c r="N172" s="92"/>
      <c r="O172" s="92"/>
      <c r="P172" s="92"/>
      <c r="Q172" s="92"/>
      <c r="R172" s="92"/>
      <c r="S172" s="92"/>
      <c r="T172" s="92"/>
      <c r="U172"/>
      <c r="V172"/>
      <c r="W172"/>
      <c r="X172"/>
      <c r="Y172" s="49"/>
      <c r="AC172"/>
      <c r="AD172"/>
      <c r="AE172"/>
    </row>
    <row r="173" spans="1:31" s="41" customFormat="1" ht="48" thickBot="1">
      <c r="A173" s="63">
        <v>119</v>
      </c>
      <c r="B173" s="8" t="s">
        <v>44</v>
      </c>
      <c r="C173" s="22">
        <f t="shared" si="58"/>
        <v>130598.79999999999</v>
      </c>
      <c r="D173" s="43">
        <f t="shared" si="58"/>
        <v>14443.100000000002</v>
      </c>
      <c r="E173" s="22">
        <f t="shared" si="58"/>
        <v>17940.399999999998</v>
      </c>
      <c r="F173" s="22">
        <f t="shared" si="58"/>
        <v>21063.300000000003</v>
      </c>
      <c r="G173" s="22">
        <f t="shared" si="58"/>
        <v>19288</v>
      </c>
      <c r="H173" s="22">
        <f t="shared" si="58"/>
        <v>19288</v>
      </c>
      <c r="I173" s="22">
        <f t="shared" si="58"/>
        <v>19288</v>
      </c>
      <c r="J173" s="22">
        <f t="shared" si="58"/>
        <v>19288</v>
      </c>
      <c r="K173" s="32"/>
      <c r="L173" s="91"/>
      <c r="M173" s="92"/>
      <c r="N173" s="92"/>
      <c r="O173" s="92"/>
      <c r="P173" s="92"/>
      <c r="Q173" s="92"/>
      <c r="R173" s="92"/>
      <c r="S173" s="92"/>
      <c r="T173" s="92"/>
      <c r="U173"/>
      <c r="V173"/>
      <c r="W173"/>
      <c r="X173"/>
      <c r="Y173" s="49"/>
      <c r="AC173"/>
      <c r="AD173"/>
      <c r="AE173"/>
    </row>
    <row r="174" spans="1:31" s="41" customFormat="1" ht="16.5" customHeight="1" hidden="1" thickBot="1">
      <c r="A174" s="63"/>
      <c r="B174" s="8" t="s">
        <v>17</v>
      </c>
      <c r="C174" s="22"/>
      <c r="D174" s="22"/>
      <c r="E174" s="22"/>
      <c r="F174" s="22"/>
      <c r="G174" s="22"/>
      <c r="H174" s="22"/>
      <c r="I174" s="22"/>
      <c r="J174" s="22"/>
      <c r="K174" s="32"/>
      <c r="L174" s="91"/>
      <c r="M174" s="92"/>
      <c r="N174" s="92"/>
      <c r="O174" s="92"/>
      <c r="P174" s="92"/>
      <c r="Q174" s="92"/>
      <c r="R174" s="92"/>
      <c r="S174" s="92"/>
      <c r="T174" s="92"/>
      <c r="U174"/>
      <c r="V174"/>
      <c r="W174"/>
      <c r="X174"/>
      <c r="Y174" s="49"/>
      <c r="AC174"/>
      <c r="AD174"/>
      <c r="AE174"/>
    </row>
    <row r="175" spans="1:31" s="41" customFormat="1" ht="16.5" customHeight="1" hidden="1" thickBot="1">
      <c r="A175" s="63"/>
      <c r="B175" s="8" t="s">
        <v>16</v>
      </c>
      <c r="C175" s="22"/>
      <c r="D175" s="22"/>
      <c r="E175" s="22"/>
      <c r="F175" s="22"/>
      <c r="G175" s="22"/>
      <c r="H175" s="22"/>
      <c r="I175" s="22"/>
      <c r="J175" s="22"/>
      <c r="K175" s="32"/>
      <c r="L175" s="91"/>
      <c r="M175" s="92"/>
      <c r="N175" s="92"/>
      <c r="O175" s="92"/>
      <c r="P175" s="92"/>
      <c r="Q175" s="92"/>
      <c r="R175" s="92"/>
      <c r="S175" s="92"/>
      <c r="T175" s="92"/>
      <c r="U175"/>
      <c r="V175"/>
      <c r="W175"/>
      <c r="X175"/>
      <c r="Y175" s="49"/>
      <c r="AC175"/>
      <c r="AD175"/>
      <c r="AE175"/>
    </row>
    <row r="176" spans="1:31" s="41" customFormat="1" ht="32.25" customHeight="1" hidden="1" thickBot="1">
      <c r="A176" s="63"/>
      <c r="B176" s="8" t="s">
        <v>18</v>
      </c>
      <c r="C176" s="22"/>
      <c r="D176" s="22"/>
      <c r="E176" s="22"/>
      <c r="F176" s="22"/>
      <c r="G176" s="22"/>
      <c r="H176" s="22"/>
      <c r="I176" s="22"/>
      <c r="J176" s="22"/>
      <c r="K176" s="32"/>
      <c r="L176" s="91"/>
      <c r="M176" s="92"/>
      <c r="N176" s="92"/>
      <c r="O176" s="92"/>
      <c r="P176" s="92"/>
      <c r="Q176" s="92"/>
      <c r="R176" s="92"/>
      <c r="S176" s="92"/>
      <c r="T176" s="92"/>
      <c r="U176"/>
      <c r="V176"/>
      <c r="W176"/>
      <c r="X176"/>
      <c r="Y176" s="49"/>
      <c r="AC176"/>
      <c r="AD176"/>
      <c r="AE176"/>
    </row>
    <row r="177" spans="1:31" s="41" customFormat="1" ht="145.5" customHeight="1" thickBot="1">
      <c r="A177" s="63">
        <v>120</v>
      </c>
      <c r="B177" s="31" t="s">
        <v>69</v>
      </c>
      <c r="C177" s="23">
        <f>C178+C180</f>
        <v>127569.29999999999</v>
      </c>
      <c r="D177" s="23">
        <f aca="true" t="shared" si="59" ref="D177:J177">D178+D180</f>
        <v>13583.7</v>
      </c>
      <c r="E177" s="23">
        <f t="shared" si="59"/>
        <v>17132.399999999998</v>
      </c>
      <c r="F177" s="23">
        <f t="shared" si="59"/>
        <v>19952.4</v>
      </c>
      <c r="G177" s="23">
        <f t="shared" si="59"/>
        <v>19225.2</v>
      </c>
      <c r="H177" s="23">
        <f t="shared" si="59"/>
        <v>19225.2</v>
      </c>
      <c r="I177" s="23">
        <f t="shared" si="59"/>
        <v>19225.2</v>
      </c>
      <c r="J177" s="23">
        <f t="shared" si="59"/>
        <v>19225.2</v>
      </c>
      <c r="K177" s="32" t="s">
        <v>91</v>
      </c>
      <c r="L177" s="91"/>
      <c r="M177" s="92"/>
      <c r="N177" s="92"/>
      <c r="O177" s="92"/>
      <c r="P177" s="92"/>
      <c r="Q177" s="92"/>
      <c r="R177" s="92"/>
      <c r="S177" s="92"/>
      <c r="T177" s="92"/>
      <c r="U177"/>
      <c r="V177"/>
      <c r="W177"/>
      <c r="X177"/>
      <c r="Y177" s="49"/>
      <c r="AC177"/>
      <c r="AD177"/>
      <c r="AE177"/>
    </row>
    <row r="178" spans="1:31" s="41" customFormat="1" ht="16.5" thickBot="1">
      <c r="A178" s="63">
        <v>121</v>
      </c>
      <c r="B178" s="8" t="s">
        <v>15</v>
      </c>
      <c r="C178" s="23">
        <f>D178+E178+F178+G178+H178+I178+J178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32"/>
      <c r="L178" s="91"/>
      <c r="M178" s="92"/>
      <c r="N178" s="92"/>
      <c r="O178" s="92"/>
      <c r="P178" s="92"/>
      <c r="Q178" s="92"/>
      <c r="R178" s="92"/>
      <c r="S178" s="92"/>
      <c r="T178" s="92"/>
      <c r="U178"/>
      <c r="V178"/>
      <c r="W178"/>
      <c r="X178"/>
      <c r="Y178" s="49"/>
      <c r="AC178"/>
      <c r="AD178"/>
      <c r="AE178"/>
    </row>
    <row r="179" spans="1:31" s="41" customFormat="1" ht="48" thickBot="1">
      <c r="A179" s="63">
        <v>122</v>
      </c>
      <c r="B179" s="8" t="s">
        <v>44</v>
      </c>
      <c r="C179" s="23">
        <f>D179+E179+F179+G179+H179+I179+J179</f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32"/>
      <c r="L179" s="91"/>
      <c r="M179" s="92"/>
      <c r="N179" s="92"/>
      <c r="O179" s="92"/>
      <c r="P179" s="92"/>
      <c r="Q179" s="92"/>
      <c r="R179" s="92"/>
      <c r="S179" s="92"/>
      <c r="T179" s="92"/>
      <c r="U179"/>
      <c r="V179"/>
      <c r="W179"/>
      <c r="X179"/>
      <c r="Y179" s="49"/>
      <c r="AC179"/>
      <c r="AD179"/>
      <c r="AE179"/>
    </row>
    <row r="180" spans="1:31" s="41" customFormat="1" ht="16.5" thickBot="1">
      <c r="A180" s="63">
        <v>123</v>
      </c>
      <c r="B180" s="8" t="s">
        <v>24</v>
      </c>
      <c r="C180" s="23">
        <f>D180+E180+F180+G180+H180+I180+J180</f>
        <v>127569.29999999999</v>
      </c>
      <c r="D180" s="22">
        <f aca="true" t="shared" si="60" ref="D180:J180">D181</f>
        <v>13583.7</v>
      </c>
      <c r="E180" s="22">
        <f>E181</f>
        <v>17132.399999999998</v>
      </c>
      <c r="F180" s="22">
        <v>19952.4</v>
      </c>
      <c r="G180" s="22">
        <f t="shared" si="60"/>
        <v>19225.2</v>
      </c>
      <c r="H180" s="22">
        <f t="shared" si="60"/>
        <v>19225.2</v>
      </c>
      <c r="I180" s="22">
        <f t="shared" si="60"/>
        <v>19225.2</v>
      </c>
      <c r="J180" s="22">
        <f t="shared" si="60"/>
        <v>19225.2</v>
      </c>
      <c r="K180" s="32"/>
      <c r="L180" s="91"/>
      <c r="M180" s="92"/>
      <c r="N180" s="92"/>
      <c r="O180" s="92"/>
      <c r="P180" s="92"/>
      <c r="Q180" s="92"/>
      <c r="R180" s="92"/>
      <c r="S180" s="92"/>
      <c r="T180" s="92"/>
      <c r="U180"/>
      <c r="V180">
        <v>139.3</v>
      </c>
      <c r="W180">
        <v>-24.4</v>
      </c>
      <c r="X180"/>
      <c r="Y180" s="49"/>
      <c r="AA180" s="41">
        <v>-750</v>
      </c>
      <c r="AC180"/>
      <c r="AD180"/>
      <c r="AE180">
        <v>231.4</v>
      </c>
    </row>
    <row r="181" spans="1:31" s="41" customFormat="1" ht="48" thickBot="1">
      <c r="A181" s="63">
        <v>124</v>
      </c>
      <c r="B181" s="8" t="s">
        <v>44</v>
      </c>
      <c r="C181" s="23">
        <f>D181+E181+F181+G181+H181+I181+J181</f>
        <v>127569.29999999999</v>
      </c>
      <c r="D181" s="22">
        <f>16789.7-3501.1+295.1</f>
        <v>13583.7</v>
      </c>
      <c r="E181" s="22">
        <f>17437.8+V181+W181+AA181+AD181+AE181</f>
        <v>17132.399999999998</v>
      </c>
      <c r="F181" s="22">
        <v>19952.4</v>
      </c>
      <c r="G181" s="22">
        <v>19225.2</v>
      </c>
      <c r="H181" s="22">
        <f>G181</f>
        <v>19225.2</v>
      </c>
      <c r="I181" s="22">
        <f>H181</f>
        <v>19225.2</v>
      </c>
      <c r="J181" s="22">
        <f>I181</f>
        <v>19225.2</v>
      </c>
      <c r="K181" s="32"/>
      <c r="L181" s="91"/>
      <c r="M181" s="92"/>
      <c r="N181" s="92"/>
      <c r="O181" s="92"/>
      <c r="P181" s="92"/>
      <c r="Q181" s="92"/>
      <c r="R181" s="92"/>
      <c r="S181" s="92"/>
      <c r="T181" s="92"/>
      <c r="U181"/>
      <c r="V181">
        <v>139.3</v>
      </c>
      <c r="W181">
        <v>-24.4</v>
      </c>
      <c r="X181"/>
      <c r="Y181" s="49"/>
      <c r="AA181" s="41">
        <v>-750</v>
      </c>
      <c r="AC181"/>
      <c r="AD181">
        <v>98.3</v>
      </c>
      <c r="AE181">
        <v>231.4</v>
      </c>
    </row>
    <row r="182" spans="1:31" s="41" customFormat="1" ht="15.75">
      <c r="A182" s="94">
        <v>125</v>
      </c>
      <c r="B182" s="12" t="s">
        <v>28</v>
      </c>
      <c r="C182" s="118">
        <f>C184</f>
        <v>0</v>
      </c>
      <c r="D182" s="118">
        <f>D184</f>
        <v>0</v>
      </c>
      <c r="E182" s="118">
        <f aca="true" t="shared" si="61" ref="E182:J182">E184</f>
        <v>0</v>
      </c>
      <c r="F182" s="118">
        <f t="shared" si="61"/>
        <v>0</v>
      </c>
      <c r="G182" s="118">
        <f t="shared" si="61"/>
        <v>0</v>
      </c>
      <c r="H182" s="118">
        <f t="shared" si="61"/>
        <v>0</v>
      </c>
      <c r="I182" s="118">
        <f t="shared" si="61"/>
        <v>0</v>
      </c>
      <c r="J182" s="118">
        <f t="shared" si="61"/>
        <v>0</v>
      </c>
      <c r="K182" s="107">
        <v>42.43</v>
      </c>
      <c r="L182" s="91"/>
      <c r="M182" s="92"/>
      <c r="N182" s="92"/>
      <c r="O182" s="92"/>
      <c r="P182" s="92"/>
      <c r="Q182" s="92"/>
      <c r="R182" s="92"/>
      <c r="S182" s="92"/>
      <c r="T182" s="92"/>
      <c r="U182"/>
      <c r="V182"/>
      <c r="W182"/>
      <c r="X182"/>
      <c r="Y182" s="49"/>
      <c r="AC182"/>
      <c r="AD182"/>
      <c r="AE182"/>
    </row>
    <row r="183" spans="1:31" s="41" customFormat="1" ht="95.25" thickBot="1">
      <c r="A183" s="95"/>
      <c r="B183" s="8" t="s">
        <v>70</v>
      </c>
      <c r="C183" s="119"/>
      <c r="D183" s="119"/>
      <c r="E183" s="119"/>
      <c r="F183" s="119"/>
      <c r="G183" s="119"/>
      <c r="H183" s="119"/>
      <c r="I183" s="119"/>
      <c r="J183" s="119"/>
      <c r="K183" s="108"/>
      <c r="L183" s="91"/>
      <c r="M183" s="92"/>
      <c r="N183" s="92"/>
      <c r="O183" s="92"/>
      <c r="P183" s="92"/>
      <c r="Q183" s="92"/>
      <c r="R183" s="92"/>
      <c r="S183" s="92"/>
      <c r="T183" s="92"/>
      <c r="U183"/>
      <c r="V183"/>
      <c r="W183"/>
      <c r="X183"/>
      <c r="Y183" s="49"/>
      <c r="AC183"/>
      <c r="AD183"/>
      <c r="AE183"/>
    </row>
    <row r="184" spans="1:31" s="41" customFormat="1" ht="16.5" thickBot="1">
      <c r="A184" s="63">
        <v>126</v>
      </c>
      <c r="B184" s="8" t="s">
        <v>16</v>
      </c>
      <c r="C184" s="23">
        <f>D184+E184+F184+G184+H184+I184+J184</f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32"/>
      <c r="L184" s="91"/>
      <c r="M184" s="92"/>
      <c r="N184" s="92"/>
      <c r="O184" s="92"/>
      <c r="P184" s="92"/>
      <c r="Q184" s="92"/>
      <c r="R184" s="92"/>
      <c r="S184" s="92"/>
      <c r="T184" s="92"/>
      <c r="U184"/>
      <c r="V184"/>
      <c r="W184"/>
      <c r="X184"/>
      <c r="Y184" s="49"/>
      <c r="AC184"/>
      <c r="AD184"/>
      <c r="AE184"/>
    </row>
    <row r="185" spans="1:20" ht="48" thickBot="1">
      <c r="A185" s="63">
        <v>127</v>
      </c>
      <c r="B185" s="8" t="s">
        <v>44</v>
      </c>
      <c r="C185" s="23">
        <f>D185+E185+F185+G185+H185+I185+J185</f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32"/>
      <c r="L185" s="91"/>
      <c r="M185" s="92"/>
      <c r="N185" s="92"/>
      <c r="O185" s="92"/>
      <c r="P185" s="92"/>
      <c r="Q185" s="92"/>
      <c r="R185" s="92"/>
      <c r="S185" s="92"/>
      <c r="T185" s="92"/>
    </row>
    <row r="186" spans="1:20" ht="79.5" thickBot="1">
      <c r="A186" s="63">
        <v>128</v>
      </c>
      <c r="B186" s="8" t="s">
        <v>50</v>
      </c>
      <c r="C186" s="23">
        <f>C187</f>
        <v>421.20000000000005</v>
      </c>
      <c r="D186" s="23">
        <f aca="true" t="shared" si="62" ref="D186:J187">D187</f>
        <v>48</v>
      </c>
      <c r="E186" s="23">
        <f t="shared" si="62"/>
        <v>57</v>
      </c>
      <c r="F186" s="23">
        <f t="shared" si="62"/>
        <v>65</v>
      </c>
      <c r="G186" s="23">
        <f t="shared" si="62"/>
        <v>62.8</v>
      </c>
      <c r="H186" s="23">
        <f t="shared" si="62"/>
        <v>62.8</v>
      </c>
      <c r="I186" s="23">
        <f t="shared" si="62"/>
        <v>62.8</v>
      </c>
      <c r="J186" s="23">
        <f t="shared" si="62"/>
        <v>62.8</v>
      </c>
      <c r="K186" s="32">
        <v>38.41</v>
      </c>
      <c r="L186" s="91"/>
      <c r="M186" s="92"/>
      <c r="N186" s="92"/>
      <c r="O186" s="92"/>
      <c r="P186" s="92"/>
      <c r="Q186" s="92"/>
      <c r="R186" s="92"/>
      <c r="S186" s="92"/>
      <c r="T186" s="92"/>
    </row>
    <row r="187" spans="1:20" ht="16.5" thickBot="1">
      <c r="A187" s="63">
        <v>129</v>
      </c>
      <c r="B187" s="8" t="s">
        <v>16</v>
      </c>
      <c r="C187" s="23">
        <f>D187+E187+F187+G187+H187+I187+J187</f>
        <v>421.20000000000005</v>
      </c>
      <c r="D187" s="22">
        <f>D188</f>
        <v>48</v>
      </c>
      <c r="E187" s="22">
        <f t="shared" si="62"/>
        <v>57</v>
      </c>
      <c r="F187" s="22">
        <v>65</v>
      </c>
      <c r="G187" s="22">
        <f t="shared" si="62"/>
        <v>62.8</v>
      </c>
      <c r="H187" s="22">
        <f t="shared" si="62"/>
        <v>62.8</v>
      </c>
      <c r="I187" s="22">
        <f t="shared" si="62"/>
        <v>62.8</v>
      </c>
      <c r="J187" s="22">
        <f t="shared" si="62"/>
        <v>62.8</v>
      </c>
      <c r="K187" s="32"/>
      <c r="L187" s="91"/>
      <c r="M187" s="92"/>
      <c r="N187" s="92"/>
      <c r="O187" s="92"/>
      <c r="P187" s="92"/>
      <c r="Q187" s="92"/>
      <c r="R187" s="92"/>
      <c r="S187" s="92"/>
      <c r="T187" s="92"/>
    </row>
    <row r="188" spans="1:20" ht="48" thickBot="1">
      <c r="A188" s="63">
        <v>130</v>
      </c>
      <c r="B188" s="8" t="s">
        <v>44</v>
      </c>
      <c r="C188" s="23">
        <f>D188+E188+F188+G188+H188+I188+J188</f>
        <v>421.20000000000005</v>
      </c>
      <c r="D188" s="22">
        <f>58-10</f>
        <v>48</v>
      </c>
      <c r="E188" s="22">
        <v>57</v>
      </c>
      <c r="F188" s="22">
        <v>65</v>
      </c>
      <c r="G188" s="22">
        <v>62.8</v>
      </c>
      <c r="H188" s="22">
        <f>G188</f>
        <v>62.8</v>
      </c>
      <c r="I188" s="22">
        <f>H188</f>
        <v>62.8</v>
      </c>
      <c r="J188" s="22">
        <f>I188</f>
        <v>62.8</v>
      </c>
      <c r="K188" s="32"/>
      <c r="L188" s="91"/>
      <c r="M188" s="92"/>
      <c r="N188" s="92"/>
      <c r="O188" s="92"/>
      <c r="P188" s="92"/>
      <c r="Q188" s="92"/>
      <c r="R188" s="92"/>
      <c r="S188" s="92"/>
      <c r="T188" s="92"/>
    </row>
    <row r="189" spans="1:20" ht="15.75">
      <c r="A189" s="94">
        <v>131</v>
      </c>
      <c r="B189" s="12" t="s">
        <v>29</v>
      </c>
      <c r="C189" s="118">
        <f>C191+C193</f>
        <v>3550.1</v>
      </c>
      <c r="D189" s="118">
        <f aca="true" t="shared" si="63" ref="D189:J189">D191+D193</f>
        <v>830.3000000000001</v>
      </c>
      <c r="E189" s="118">
        <f t="shared" si="63"/>
        <v>751</v>
      </c>
      <c r="F189" s="118">
        <f t="shared" si="63"/>
        <v>1968.8</v>
      </c>
      <c r="G189" s="118">
        <f t="shared" si="63"/>
        <v>0</v>
      </c>
      <c r="H189" s="118">
        <f t="shared" si="63"/>
        <v>0</v>
      </c>
      <c r="I189" s="118">
        <f t="shared" si="63"/>
        <v>0</v>
      </c>
      <c r="J189" s="118">
        <f t="shared" si="63"/>
        <v>0</v>
      </c>
      <c r="K189" s="107">
        <v>44.45</v>
      </c>
      <c r="L189" s="91"/>
      <c r="M189" s="92"/>
      <c r="N189" s="92"/>
      <c r="O189" s="92"/>
      <c r="P189" s="92"/>
      <c r="Q189" s="92"/>
      <c r="R189" s="92"/>
      <c r="S189" s="92"/>
      <c r="T189" s="92"/>
    </row>
    <row r="190" spans="1:20" ht="111" thickBot="1">
      <c r="A190" s="95"/>
      <c r="B190" s="8" t="s">
        <v>51</v>
      </c>
      <c r="C190" s="119"/>
      <c r="D190" s="119"/>
      <c r="E190" s="119"/>
      <c r="F190" s="119"/>
      <c r="G190" s="119"/>
      <c r="H190" s="119"/>
      <c r="I190" s="119"/>
      <c r="J190" s="119"/>
      <c r="K190" s="113"/>
      <c r="L190" s="91"/>
      <c r="M190" s="92"/>
      <c r="N190" s="92"/>
      <c r="O190" s="92"/>
      <c r="P190" s="92"/>
      <c r="Q190" s="92"/>
      <c r="R190" s="92"/>
      <c r="S190" s="92"/>
      <c r="T190" s="92"/>
    </row>
    <row r="191" spans="1:20" ht="16.5" thickBot="1">
      <c r="A191" s="63">
        <v>132</v>
      </c>
      <c r="B191" s="8" t="s">
        <v>15</v>
      </c>
      <c r="C191" s="23">
        <f>D191+E191+F191+G191+H191+I191+J191</f>
        <v>66.6</v>
      </c>
      <c r="D191" s="43">
        <v>66.6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32"/>
      <c r="L191" s="91"/>
      <c r="M191" s="92"/>
      <c r="N191" s="92"/>
      <c r="O191" s="92"/>
      <c r="P191" s="92"/>
      <c r="Q191" s="92"/>
      <c r="R191" s="92"/>
      <c r="S191" s="92"/>
      <c r="T191" s="92"/>
    </row>
    <row r="192" spans="1:20" ht="48" thickBot="1">
      <c r="A192" s="94">
        <v>133</v>
      </c>
      <c r="B192" s="8" t="s">
        <v>44</v>
      </c>
      <c r="C192" s="23">
        <f>D192+E192+F192+G192+H192+I192+J192</f>
        <v>66.6</v>
      </c>
      <c r="D192" s="43">
        <v>66.6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32"/>
      <c r="L192" s="91"/>
      <c r="M192" s="92"/>
      <c r="N192" s="92"/>
      <c r="O192" s="92"/>
      <c r="P192" s="92"/>
      <c r="Q192" s="92"/>
      <c r="R192" s="92"/>
      <c r="S192" s="92"/>
      <c r="T192" s="92"/>
    </row>
    <row r="193" spans="1:23" ht="16.5" thickBot="1">
      <c r="A193" s="117"/>
      <c r="B193" s="8" t="s">
        <v>16</v>
      </c>
      <c r="C193" s="23">
        <f>D193+E193+F193+G193+H193+I193+J193</f>
        <v>3483.5</v>
      </c>
      <c r="D193" s="43">
        <f>D194</f>
        <v>763.7</v>
      </c>
      <c r="E193" s="22">
        <f aca="true" t="shared" si="64" ref="E193:J193">E194</f>
        <v>751</v>
      </c>
      <c r="F193" s="22">
        <v>1968.8</v>
      </c>
      <c r="G193" s="22">
        <f t="shared" si="64"/>
        <v>0</v>
      </c>
      <c r="H193" s="22">
        <f t="shared" si="64"/>
        <v>0</v>
      </c>
      <c r="I193" s="22">
        <f t="shared" si="64"/>
        <v>0</v>
      </c>
      <c r="J193" s="22">
        <f t="shared" si="64"/>
        <v>0</v>
      </c>
      <c r="K193" s="32"/>
      <c r="L193" s="91"/>
      <c r="M193" s="92"/>
      <c r="N193" s="92"/>
      <c r="O193" s="92"/>
      <c r="P193" s="92"/>
      <c r="Q193" s="92"/>
      <c r="R193" s="92"/>
      <c r="S193" s="92"/>
      <c r="T193" s="92"/>
      <c r="W193">
        <v>24.4</v>
      </c>
    </row>
    <row r="194" spans="1:23" ht="48" thickBot="1">
      <c r="A194" s="63">
        <v>134</v>
      </c>
      <c r="B194" s="8" t="s">
        <v>44</v>
      </c>
      <c r="C194" s="23">
        <f>D194+E194+F194+G194+H194+I194+J194</f>
        <v>2560.6000000000004</v>
      </c>
      <c r="D194" s="43">
        <f>941+44.4-221.7</f>
        <v>763.7</v>
      </c>
      <c r="E194" s="22">
        <f>726.6+W194</f>
        <v>751</v>
      </c>
      <c r="F194" s="22">
        <v>1045.9</v>
      </c>
      <c r="G194" s="22">
        <v>0</v>
      </c>
      <c r="H194" s="22">
        <v>0</v>
      </c>
      <c r="I194" s="22">
        <v>0</v>
      </c>
      <c r="J194" s="22">
        <v>0</v>
      </c>
      <c r="K194" s="33"/>
      <c r="L194" s="91"/>
      <c r="M194" s="92"/>
      <c r="N194" s="92"/>
      <c r="O194" s="92"/>
      <c r="P194" s="92"/>
      <c r="Q194" s="92"/>
      <c r="R194" s="92"/>
      <c r="S194" s="92"/>
      <c r="T194" s="92"/>
      <c r="W194">
        <v>24.4</v>
      </c>
    </row>
    <row r="195" spans="1:20" ht="111" thickBot="1">
      <c r="A195" s="63">
        <v>135</v>
      </c>
      <c r="B195" s="8" t="s">
        <v>63</v>
      </c>
      <c r="C195" s="23">
        <f>C196+C198</f>
        <v>47.7</v>
      </c>
      <c r="D195" s="23">
        <f aca="true" t="shared" si="65" ref="D195:J195">D196+D198</f>
        <v>47.7</v>
      </c>
      <c r="E195" s="23">
        <f t="shared" si="65"/>
        <v>0</v>
      </c>
      <c r="F195" s="23">
        <f t="shared" si="65"/>
        <v>0</v>
      </c>
      <c r="G195" s="23">
        <f t="shared" si="65"/>
        <v>0</v>
      </c>
      <c r="H195" s="23">
        <f t="shared" si="65"/>
        <v>0</v>
      </c>
      <c r="I195" s="23">
        <f t="shared" si="65"/>
        <v>0</v>
      </c>
      <c r="J195" s="23">
        <f t="shared" si="65"/>
        <v>0</v>
      </c>
      <c r="K195" s="32">
        <v>46.47</v>
      </c>
      <c r="L195" s="91"/>
      <c r="M195" s="92"/>
      <c r="N195" s="92"/>
      <c r="O195" s="92"/>
      <c r="P195" s="92"/>
      <c r="Q195" s="92"/>
      <c r="R195" s="92"/>
      <c r="S195" s="92"/>
      <c r="T195" s="92"/>
    </row>
    <row r="196" spans="1:20" ht="16.5" thickBot="1">
      <c r="A196" s="63">
        <v>136</v>
      </c>
      <c r="B196" s="8" t="s">
        <v>15</v>
      </c>
      <c r="C196" s="23">
        <f>D196+E196+F196+G196+H196+I196+J196</f>
        <v>0</v>
      </c>
      <c r="D196" s="22">
        <f>D197</f>
        <v>0</v>
      </c>
      <c r="E196" s="22">
        <f aca="true" t="shared" si="66" ref="E196:J196">E197</f>
        <v>0</v>
      </c>
      <c r="F196" s="22">
        <f t="shared" si="66"/>
        <v>0</v>
      </c>
      <c r="G196" s="22">
        <f t="shared" si="66"/>
        <v>0</v>
      </c>
      <c r="H196" s="22">
        <f t="shared" si="66"/>
        <v>0</v>
      </c>
      <c r="I196" s="22">
        <f t="shared" si="66"/>
        <v>0</v>
      </c>
      <c r="J196" s="22">
        <f t="shared" si="66"/>
        <v>0</v>
      </c>
      <c r="K196" s="32"/>
      <c r="L196" s="91"/>
      <c r="M196" s="92"/>
      <c r="N196" s="92"/>
      <c r="O196" s="92"/>
      <c r="P196" s="92"/>
      <c r="Q196" s="92"/>
      <c r="R196" s="92"/>
      <c r="S196" s="92"/>
      <c r="T196" s="92"/>
    </row>
    <row r="197" spans="1:20" ht="48" thickBot="1">
      <c r="A197" s="63">
        <v>137</v>
      </c>
      <c r="B197" s="8" t="s">
        <v>44</v>
      </c>
      <c r="C197" s="23">
        <f>D197+E197+F197+G197+H197+I197+J197</f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32"/>
      <c r="L197" s="91"/>
      <c r="M197" s="92"/>
      <c r="N197" s="92"/>
      <c r="O197" s="92"/>
      <c r="P197" s="92"/>
      <c r="Q197" s="92"/>
      <c r="R197" s="92"/>
      <c r="S197" s="92"/>
      <c r="T197" s="92"/>
    </row>
    <row r="198" spans="1:20" ht="16.5" thickBot="1">
      <c r="A198" s="63">
        <v>138</v>
      </c>
      <c r="B198" s="8" t="s">
        <v>16</v>
      </c>
      <c r="C198" s="23">
        <f>D198+E198+F198+G198+H198+I198+J198</f>
        <v>47.7</v>
      </c>
      <c r="D198" s="22">
        <f>D199</f>
        <v>47.7</v>
      </c>
      <c r="E198" s="22">
        <f aca="true" t="shared" si="67" ref="E198:J198">E199</f>
        <v>0</v>
      </c>
      <c r="F198" s="22">
        <f t="shared" si="67"/>
        <v>0</v>
      </c>
      <c r="G198" s="22">
        <f t="shared" si="67"/>
        <v>0</v>
      </c>
      <c r="H198" s="22">
        <f t="shared" si="67"/>
        <v>0</v>
      </c>
      <c r="I198" s="22">
        <f t="shared" si="67"/>
        <v>0</v>
      </c>
      <c r="J198" s="22">
        <f t="shared" si="67"/>
        <v>0</v>
      </c>
      <c r="K198" s="32"/>
      <c r="L198" s="91"/>
      <c r="M198" s="92"/>
      <c r="N198" s="92"/>
      <c r="O198" s="92"/>
      <c r="P198" s="92"/>
      <c r="Q198" s="92"/>
      <c r="R198" s="92"/>
      <c r="S198" s="92"/>
      <c r="T198" s="92"/>
    </row>
    <row r="199" spans="1:20" ht="48" thickBot="1">
      <c r="A199" s="63">
        <v>139</v>
      </c>
      <c r="B199" s="8" t="s">
        <v>44</v>
      </c>
      <c r="C199" s="23">
        <f>D199+E199+F199+G199+H199+I199+J199</f>
        <v>47.7</v>
      </c>
      <c r="D199" s="22">
        <v>47.7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32"/>
      <c r="L199" s="91"/>
      <c r="M199" s="92"/>
      <c r="N199" s="92"/>
      <c r="O199" s="92"/>
      <c r="P199" s="92"/>
      <c r="Q199" s="92"/>
      <c r="R199" s="92"/>
      <c r="S199" s="92"/>
      <c r="T199" s="92"/>
    </row>
    <row r="200" spans="1:25" s="41" customFormat="1" ht="15.75" customHeight="1">
      <c r="A200" s="83">
        <v>107</v>
      </c>
      <c r="B200" s="27" t="s">
        <v>108</v>
      </c>
      <c r="C200" s="85">
        <f aca="true" t="shared" si="68" ref="C200:J200">C204+C206+C202</f>
        <v>118.7</v>
      </c>
      <c r="D200" s="85">
        <f t="shared" si="68"/>
        <v>0</v>
      </c>
      <c r="E200" s="85">
        <f t="shared" si="68"/>
        <v>0</v>
      </c>
      <c r="F200" s="85">
        <f t="shared" si="68"/>
        <v>118.7</v>
      </c>
      <c r="G200" s="85">
        <f t="shared" si="68"/>
        <v>0</v>
      </c>
      <c r="H200" s="85">
        <f t="shared" si="68"/>
        <v>0</v>
      </c>
      <c r="I200" s="85">
        <f t="shared" si="68"/>
        <v>0</v>
      </c>
      <c r="J200" s="85">
        <f t="shared" si="68"/>
        <v>0</v>
      </c>
      <c r="K200" s="89"/>
      <c r="L200" s="87">
        <f>L204+L205+L206+L207</f>
        <v>5567</v>
      </c>
      <c r="M200" s="88"/>
      <c r="N200" s="88"/>
      <c r="O200" s="88"/>
      <c r="P200" s="88"/>
      <c r="Q200" s="88"/>
      <c r="R200" s="88"/>
      <c r="S200" s="88"/>
      <c r="T200" s="88"/>
      <c r="Y200" s="49"/>
    </row>
    <row r="201" spans="1:25" s="41" customFormat="1" ht="76.5" customHeight="1" thickBot="1">
      <c r="A201" s="84"/>
      <c r="B201" s="21" t="s">
        <v>109</v>
      </c>
      <c r="C201" s="86"/>
      <c r="D201" s="86"/>
      <c r="E201" s="86"/>
      <c r="F201" s="86"/>
      <c r="G201" s="86"/>
      <c r="H201" s="86"/>
      <c r="I201" s="86"/>
      <c r="J201" s="86"/>
      <c r="K201" s="90"/>
      <c r="L201" s="87"/>
      <c r="M201" s="88"/>
      <c r="N201" s="88"/>
      <c r="O201" s="88"/>
      <c r="P201" s="88"/>
      <c r="Q201" s="88"/>
      <c r="R201" s="88"/>
      <c r="S201" s="88"/>
      <c r="T201" s="88"/>
      <c r="U201" s="41">
        <v>5.6</v>
      </c>
      <c r="Y201" s="49"/>
    </row>
    <row r="202" spans="1:28" s="41" customFormat="1" ht="16.5" thickBot="1">
      <c r="A202" s="64">
        <v>108</v>
      </c>
      <c r="B202" s="21" t="s">
        <v>98</v>
      </c>
      <c r="C202" s="25">
        <f aca="true" t="shared" si="69" ref="C202:C207">D202+E202+F202+G202+H202+I202+J202</f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40"/>
      <c r="L202" s="81">
        <f>-18108</f>
        <v>-18108</v>
      </c>
      <c r="M202" s="82"/>
      <c r="N202" s="82"/>
      <c r="O202" s="82"/>
      <c r="P202" s="82"/>
      <c r="Q202" s="82"/>
      <c r="R202" s="82"/>
      <c r="S202" s="82"/>
      <c r="T202" s="82"/>
      <c r="U202" s="42">
        <v>-18.1</v>
      </c>
      <c r="Y202" s="49"/>
      <c r="AB202" s="41">
        <v>698</v>
      </c>
    </row>
    <row r="203" spans="1:28" s="41" customFormat="1" ht="48" thickBot="1">
      <c r="A203" s="64">
        <v>109</v>
      </c>
      <c r="B203" s="21" t="s">
        <v>44</v>
      </c>
      <c r="C203" s="25">
        <f t="shared" si="69"/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40"/>
      <c r="L203" s="81">
        <f>18108</f>
        <v>18108</v>
      </c>
      <c r="M203" s="82"/>
      <c r="N203" s="82"/>
      <c r="O203" s="82"/>
      <c r="P203" s="82"/>
      <c r="Q203" s="82"/>
      <c r="R203" s="82"/>
      <c r="S203" s="82"/>
      <c r="T203" s="82"/>
      <c r="U203" s="42">
        <v>18.1</v>
      </c>
      <c r="Y203" s="49"/>
      <c r="AB203" s="41">
        <v>698</v>
      </c>
    </row>
    <row r="204" spans="1:28" s="41" customFormat="1" ht="16.5" thickBot="1">
      <c r="A204" s="64">
        <v>110</v>
      </c>
      <c r="B204" s="21" t="s">
        <v>15</v>
      </c>
      <c r="C204" s="25">
        <f t="shared" si="69"/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40"/>
      <c r="L204" s="81">
        <f>-18108</f>
        <v>-18108</v>
      </c>
      <c r="M204" s="82"/>
      <c r="N204" s="82"/>
      <c r="O204" s="82"/>
      <c r="P204" s="82"/>
      <c r="Q204" s="82"/>
      <c r="R204" s="82"/>
      <c r="S204" s="82"/>
      <c r="T204" s="82"/>
      <c r="U204" s="42">
        <v>-18.1</v>
      </c>
      <c r="Y204" s="49"/>
      <c r="AB204" s="41">
        <v>299.2</v>
      </c>
    </row>
    <row r="205" spans="1:28" s="41" customFormat="1" ht="48" thickBot="1">
      <c r="A205" s="64">
        <v>111</v>
      </c>
      <c r="B205" s="21" t="s">
        <v>44</v>
      </c>
      <c r="C205" s="25">
        <f t="shared" si="69"/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40"/>
      <c r="L205" s="81">
        <f>18108</f>
        <v>18108</v>
      </c>
      <c r="M205" s="82"/>
      <c r="N205" s="82"/>
      <c r="O205" s="82"/>
      <c r="P205" s="82"/>
      <c r="Q205" s="82"/>
      <c r="R205" s="82"/>
      <c r="S205" s="82"/>
      <c r="T205" s="82"/>
      <c r="U205" s="42">
        <v>18.1</v>
      </c>
      <c r="Y205" s="49"/>
      <c r="AB205" s="41">
        <v>299.2</v>
      </c>
    </row>
    <row r="206" spans="1:25" s="41" customFormat="1" ht="21" customHeight="1" thickBot="1">
      <c r="A206" s="64">
        <v>112</v>
      </c>
      <c r="B206" s="21" t="s">
        <v>16</v>
      </c>
      <c r="C206" s="25">
        <f t="shared" si="69"/>
        <v>118.7</v>
      </c>
      <c r="D206" s="24">
        <v>0</v>
      </c>
      <c r="E206" s="24">
        <v>0</v>
      </c>
      <c r="F206" s="24">
        <v>118.7</v>
      </c>
      <c r="G206" s="24">
        <v>0</v>
      </c>
      <c r="H206" s="24">
        <v>0</v>
      </c>
      <c r="I206" s="24">
        <f>H206</f>
        <v>0</v>
      </c>
      <c r="J206" s="24">
        <f>I206</f>
        <v>0</v>
      </c>
      <c r="K206" s="40"/>
      <c r="L206" s="81">
        <f>-16541+4000</f>
        <v>-12541</v>
      </c>
      <c r="M206" s="82"/>
      <c r="N206" s="82"/>
      <c r="O206" s="82"/>
      <c r="P206" s="82"/>
      <c r="Q206" s="82"/>
      <c r="R206" s="82"/>
      <c r="S206" s="82"/>
      <c r="T206" s="82"/>
      <c r="U206" s="41">
        <v>-12.5</v>
      </c>
      <c r="Y206" s="49">
        <v>90.7</v>
      </c>
    </row>
    <row r="207" spans="1:25" s="41" customFormat="1" ht="48" thickBot="1">
      <c r="A207" s="64">
        <v>113</v>
      </c>
      <c r="B207" s="21" t="s">
        <v>44</v>
      </c>
      <c r="C207" s="25">
        <f t="shared" si="69"/>
        <v>118.7</v>
      </c>
      <c r="D207" s="24">
        <v>0</v>
      </c>
      <c r="E207" s="24">
        <v>0</v>
      </c>
      <c r="F207" s="24">
        <v>118.7</v>
      </c>
      <c r="G207" s="24">
        <v>0</v>
      </c>
      <c r="H207" s="24">
        <v>0</v>
      </c>
      <c r="I207" s="24">
        <f>H207</f>
        <v>0</v>
      </c>
      <c r="J207" s="24">
        <f>I207</f>
        <v>0</v>
      </c>
      <c r="K207" s="40"/>
      <c r="L207" s="81">
        <f>18108</f>
        <v>18108</v>
      </c>
      <c r="M207" s="82"/>
      <c r="N207" s="82"/>
      <c r="O207" s="82"/>
      <c r="P207" s="82"/>
      <c r="Q207" s="82"/>
      <c r="R207" s="82"/>
      <c r="S207" s="82"/>
      <c r="T207" s="82"/>
      <c r="U207" s="41">
        <v>18.1</v>
      </c>
      <c r="Y207" s="49">
        <v>90.7</v>
      </c>
    </row>
    <row r="208" spans="1:28" ht="47.25" customHeight="1" thickBot="1">
      <c r="A208" s="63">
        <v>140</v>
      </c>
      <c r="B208" s="114" t="s">
        <v>56</v>
      </c>
      <c r="C208" s="115"/>
      <c r="D208" s="115"/>
      <c r="E208" s="115"/>
      <c r="F208" s="115"/>
      <c r="G208" s="115"/>
      <c r="H208" s="115"/>
      <c r="I208" s="115"/>
      <c r="J208" s="115"/>
      <c r="K208" s="116"/>
      <c r="L208" s="91"/>
      <c r="M208" s="92"/>
      <c r="N208" s="92"/>
      <c r="O208" s="92"/>
      <c r="P208" s="92"/>
      <c r="Q208" s="92"/>
      <c r="R208" s="92"/>
      <c r="S208" s="92"/>
      <c r="T208" s="92"/>
      <c r="AB208" s="41">
        <f>AB233+AB235+AB226</f>
        <v>28.7</v>
      </c>
    </row>
    <row r="209" spans="1:21" ht="48" thickBot="1">
      <c r="A209" s="63">
        <v>141</v>
      </c>
      <c r="B209" s="8" t="s">
        <v>20</v>
      </c>
      <c r="C209" s="18">
        <f>C210+C212</f>
        <v>53081.8</v>
      </c>
      <c r="D209" s="18">
        <f>D210+D212</f>
        <v>7905.2</v>
      </c>
      <c r="E209" s="18">
        <f aca="true" t="shared" si="70" ref="E209:J209">E210+E212</f>
        <v>7086.6</v>
      </c>
      <c r="F209" s="18">
        <f t="shared" si="70"/>
        <v>12213.5</v>
      </c>
      <c r="G209" s="18">
        <f t="shared" si="70"/>
        <v>6476.299999999999</v>
      </c>
      <c r="H209" s="18">
        <f t="shared" si="70"/>
        <v>6476.299999999999</v>
      </c>
      <c r="I209" s="18">
        <f t="shared" si="70"/>
        <v>6476.299999999999</v>
      </c>
      <c r="J209" s="18">
        <f t="shared" si="70"/>
        <v>6476.299999999999</v>
      </c>
      <c r="K209" s="32"/>
      <c r="L209" s="109">
        <f>L223</f>
        <v>278700</v>
      </c>
      <c r="M209" s="110"/>
      <c r="N209" s="110"/>
      <c r="O209" s="110"/>
      <c r="P209" s="110"/>
      <c r="Q209" s="110"/>
      <c r="R209" s="110"/>
      <c r="S209" s="110"/>
      <c r="T209" s="110"/>
      <c r="U209">
        <v>278.7</v>
      </c>
    </row>
    <row r="210" spans="1:20" ht="16.5" thickBot="1">
      <c r="A210" s="63">
        <v>142</v>
      </c>
      <c r="B210" s="8" t="s">
        <v>15</v>
      </c>
      <c r="C210" s="18">
        <f>C224+C238</f>
        <v>35134.200000000004</v>
      </c>
      <c r="D210" s="19">
        <f>D224+D233+D238</f>
        <v>5446</v>
      </c>
      <c r="E210" s="19">
        <f>E224+E233+E238</f>
        <v>4904.5</v>
      </c>
      <c r="F210" s="19">
        <f>F224+F233+F238</f>
        <v>6873.6</v>
      </c>
      <c r="G210" s="19">
        <f aca="true" t="shared" si="71" ref="D210:J211">G224</f>
        <v>4484.7</v>
      </c>
      <c r="H210" s="19">
        <f t="shared" si="71"/>
        <v>4484.7</v>
      </c>
      <c r="I210" s="19">
        <f t="shared" si="71"/>
        <v>4484.7</v>
      </c>
      <c r="J210" s="19">
        <f t="shared" si="71"/>
        <v>4484.7</v>
      </c>
      <c r="K210" s="32"/>
      <c r="L210" s="109">
        <f>L224</f>
        <v>-200000</v>
      </c>
      <c r="M210" s="110"/>
      <c r="N210" s="110"/>
      <c r="O210" s="110"/>
      <c r="P210" s="110"/>
      <c r="Q210" s="110"/>
      <c r="R210" s="110"/>
      <c r="S210" s="110"/>
      <c r="T210" s="110"/>
    </row>
    <row r="211" spans="1:20" ht="48" thickBot="1">
      <c r="A211" s="63">
        <v>143</v>
      </c>
      <c r="B211" s="8" t="s">
        <v>44</v>
      </c>
      <c r="C211" s="18">
        <f>C225</f>
        <v>23674.999999999996</v>
      </c>
      <c r="D211" s="19">
        <f t="shared" si="71"/>
        <v>2879.3</v>
      </c>
      <c r="E211" s="19">
        <f t="shared" si="71"/>
        <v>2887.7</v>
      </c>
      <c r="F211" s="19">
        <f t="shared" si="71"/>
        <v>3581.6</v>
      </c>
      <c r="G211" s="19">
        <f t="shared" si="71"/>
        <v>3581.6</v>
      </c>
      <c r="H211" s="19">
        <f t="shared" si="71"/>
        <v>3581.6</v>
      </c>
      <c r="I211" s="19">
        <f t="shared" si="71"/>
        <v>3581.6</v>
      </c>
      <c r="J211" s="19">
        <f t="shared" si="71"/>
        <v>3581.6</v>
      </c>
      <c r="K211" s="32"/>
      <c r="L211" s="109">
        <f>L225</f>
        <v>200000</v>
      </c>
      <c r="M211" s="110"/>
      <c r="N211" s="110"/>
      <c r="O211" s="110"/>
      <c r="P211" s="110"/>
      <c r="Q211" s="110"/>
      <c r="R211" s="110"/>
      <c r="S211" s="110"/>
      <c r="T211" s="110"/>
    </row>
    <row r="212" spans="1:20" ht="16.5" thickBot="1">
      <c r="A212" s="63">
        <v>144</v>
      </c>
      <c r="B212" s="8" t="s">
        <v>16</v>
      </c>
      <c r="C212" s="18">
        <f>C226+C230+C235+C240</f>
        <v>17947.6</v>
      </c>
      <c r="D212" s="44">
        <f>D226+D230+D235+D240</f>
        <v>2459.2</v>
      </c>
      <c r="E212" s="44">
        <f>E226+E230+E235+E240</f>
        <v>2182.1</v>
      </c>
      <c r="F212" s="44">
        <f>F226+F230+F235+F240</f>
        <v>5339.9</v>
      </c>
      <c r="G212" s="44">
        <f>G226+G230+G235</f>
        <v>1991.6</v>
      </c>
      <c r="H212" s="44">
        <f>H226+H230+H235</f>
        <v>1991.6</v>
      </c>
      <c r="I212" s="44">
        <f>I226+I230+I235</f>
        <v>1991.6</v>
      </c>
      <c r="J212" s="44">
        <f>J226+J230+J235</f>
        <v>1991.6</v>
      </c>
      <c r="K212" s="32"/>
      <c r="L212" s="109">
        <f>L226</f>
        <v>-82313.35</v>
      </c>
      <c r="M212" s="110"/>
      <c r="N212" s="110"/>
      <c r="O212" s="110"/>
      <c r="P212" s="110"/>
      <c r="Q212" s="110"/>
      <c r="R212" s="110"/>
      <c r="S212" s="110"/>
      <c r="T212" s="110"/>
    </row>
    <row r="213" spans="1:20" ht="48" thickBot="1">
      <c r="A213" s="63">
        <v>145</v>
      </c>
      <c r="B213" s="8" t="s">
        <v>44</v>
      </c>
      <c r="C213" s="18">
        <f>C227+C231</f>
        <v>11877.400000000001</v>
      </c>
      <c r="D213" s="44">
        <f aca="true" t="shared" si="72" ref="D213:J213">D227+D231</f>
        <v>1695.8999999999999</v>
      </c>
      <c r="E213" s="44">
        <f t="shared" si="72"/>
        <v>1447.1</v>
      </c>
      <c r="F213" s="44">
        <f t="shared" si="72"/>
        <v>2626</v>
      </c>
      <c r="G213" s="44">
        <f t="shared" si="72"/>
        <v>1527.1</v>
      </c>
      <c r="H213" s="44">
        <f t="shared" si="72"/>
        <v>1527.1</v>
      </c>
      <c r="I213" s="44">
        <f t="shared" si="72"/>
        <v>1527.1</v>
      </c>
      <c r="J213" s="44">
        <f t="shared" si="72"/>
        <v>1527.1</v>
      </c>
      <c r="K213" s="32"/>
      <c r="L213" s="109">
        <f>L227</f>
        <v>361013.35</v>
      </c>
      <c r="M213" s="110"/>
      <c r="N213" s="110"/>
      <c r="O213" s="110"/>
      <c r="P213" s="110"/>
      <c r="Q213" s="110"/>
      <c r="R213" s="110"/>
      <c r="S213" s="110"/>
      <c r="T213" s="110"/>
    </row>
    <row r="214" spans="1:20" ht="16.5" customHeight="1" hidden="1" thickBot="1">
      <c r="A214" s="63"/>
      <c r="B214" s="8" t="s">
        <v>17</v>
      </c>
      <c r="C214" s="19"/>
      <c r="D214" s="19"/>
      <c r="E214" s="19"/>
      <c r="F214" s="19"/>
      <c r="G214" s="19"/>
      <c r="H214" s="19"/>
      <c r="I214" s="19"/>
      <c r="J214" s="19"/>
      <c r="K214" s="32"/>
      <c r="L214" s="91"/>
      <c r="M214" s="92"/>
      <c r="N214" s="92"/>
      <c r="O214" s="92"/>
      <c r="P214" s="92"/>
      <c r="Q214" s="92"/>
      <c r="R214" s="92"/>
      <c r="S214" s="92"/>
      <c r="T214" s="92"/>
    </row>
    <row r="215" spans="1:20" ht="16.5" customHeight="1" hidden="1" thickBot="1">
      <c r="A215" s="63"/>
      <c r="B215" s="8" t="s">
        <v>16</v>
      </c>
      <c r="C215" s="19"/>
      <c r="D215" s="19"/>
      <c r="E215" s="19"/>
      <c r="F215" s="19"/>
      <c r="G215" s="19"/>
      <c r="H215" s="19"/>
      <c r="I215" s="19"/>
      <c r="J215" s="19"/>
      <c r="K215" s="32"/>
      <c r="L215" s="91"/>
      <c r="M215" s="92"/>
      <c r="N215" s="92"/>
      <c r="O215" s="92"/>
      <c r="P215" s="92"/>
      <c r="Q215" s="92"/>
      <c r="R215" s="92"/>
      <c r="S215" s="92"/>
      <c r="T215" s="92"/>
    </row>
    <row r="216" spans="1:20" ht="32.25" customHeight="1" hidden="1" thickBot="1">
      <c r="A216" s="63"/>
      <c r="B216" s="8" t="s">
        <v>18</v>
      </c>
      <c r="C216" s="19"/>
      <c r="D216" s="19"/>
      <c r="E216" s="19"/>
      <c r="F216" s="19"/>
      <c r="G216" s="19"/>
      <c r="H216" s="19"/>
      <c r="I216" s="19"/>
      <c r="J216" s="19"/>
      <c r="K216" s="32"/>
      <c r="L216" s="91"/>
      <c r="M216" s="92"/>
      <c r="N216" s="92"/>
      <c r="O216" s="92"/>
      <c r="P216" s="92"/>
      <c r="Q216" s="92"/>
      <c r="R216" s="92"/>
      <c r="S216" s="92"/>
      <c r="T216" s="92"/>
    </row>
    <row r="217" spans="1:20" ht="15.75" customHeight="1" hidden="1">
      <c r="A217" s="94"/>
      <c r="B217" s="12" t="s">
        <v>30</v>
      </c>
      <c r="C217" s="105"/>
      <c r="D217" s="105"/>
      <c r="E217" s="105"/>
      <c r="F217" s="105"/>
      <c r="G217" s="105"/>
      <c r="H217" s="105"/>
      <c r="I217" s="105"/>
      <c r="J217" s="105"/>
      <c r="K217" s="107"/>
      <c r="L217" s="91"/>
      <c r="M217" s="92"/>
      <c r="N217" s="92"/>
      <c r="O217" s="92"/>
      <c r="P217" s="92"/>
      <c r="Q217" s="92"/>
      <c r="R217" s="92"/>
      <c r="S217" s="92"/>
      <c r="T217" s="92"/>
    </row>
    <row r="218" spans="1:20" ht="79.5" customHeight="1" hidden="1" thickBot="1">
      <c r="A218" s="95"/>
      <c r="B218" s="20" t="s">
        <v>31</v>
      </c>
      <c r="C218" s="106"/>
      <c r="D218" s="106"/>
      <c r="E218" s="106"/>
      <c r="F218" s="106"/>
      <c r="G218" s="106"/>
      <c r="H218" s="106"/>
      <c r="I218" s="106"/>
      <c r="J218" s="106"/>
      <c r="K218" s="113"/>
      <c r="L218" s="91"/>
      <c r="M218" s="92"/>
      <c r="N218" s="92"/>
      <c r="O218" s="92"/>
      <c r="P218" s="92"/>
      <c r="Q218" s="92"/>
      <c r="R218" s="92"/>
      <c r="S218" s="92"/>
      <c r="T218" s="92"/>
    </row>
    <row r="219" spans="1:20" ht="16.5" customHeight="1" hidden="1" thickBot="1">
      <c r="A219" s="63"/>
      <c r="B219" s="8" t="s">
        <v>15</v>
      </c>
      <c r="C219" s="19"/>
      <c r="D219" s="19"/>
      <c r="E219" s="19"/>
      <c r="F219" s="19"/>
      <c r="G219" s="19"/>
      <c r="H219" s="19"/>
      <c r="I219" s="19"/>
      <c r="J219" s="19"/>
      <c r="K219" s="32"/>
      <c r="L219" s="91"/>
      <c r="M219" s="92"/>
      <c r="N219" s="92"/>
      <c r="O219" s="92"/>
      <c r="P219" s="92"/>
      <c r="Q219" s="92"/>
      <c r="R219" s="92"/>
      <c r="S219" s="92"/>
      <c r="T219" s="92"/>
    </row>
    <row r="220" spans="1:20" ht="48" customHeight="1" hidden="1" thickBot="1">
      <c r="A220" s="63"/>
      <c r="B220" s="8" t="s">
        <v>44</v>
      </c>
      <c r="C220" s="19"/>
      <c r="D220" s="19"/>
      <c r="E220" s="19"/>
      <c r="F220" s="19"/>
      <c r="G220" s="19"/>
      <c r="H220" s="19"/>
      <c r="I220" s="19"/>
      <c r="J220" s="19"/>
      <c r="K220" s="32"/>
      <c r="L220" s="91"/>
      <c r="M220" s="92"/>
      <c r="N220" s="92"/>
      <c r="O220" s="92"/>
      <c r="P220" s="92"/>
      <c r="Q220" s="92"/>
      <c r="R220" s="92"/>
      <c r="S220" s="92"/>
      <c r="T220" s="92"/>
    </row>
    <row r="221" spans="1:20" ht="16.5" customHeight="1" hidden="1" thickBot="1">
      <c r="A221" s="63"/>
      <c r="B221" s="8" t="s">
        <v>16</v>
      </c>
      <c r="C221" s="19"/>
      <c r="D221" s="19"/>
      <c r="E221" s="19"/>
      <c r="F221" s="19"/>
      <c r="G221" s="19"/>
      <c r="H221" s="19"/>
      <c r="I221" s="19"/>
      <c r="J221" s="19"/>
      <c r="K221" s="32"/>
      <c r="L221" s="91"/>
      <c r="M221" s="92"/>
      <c r="N221" s="92"/>
      <c r="O221" s="92"/>
      <c r="P221" s="92"/>
      <c r="Q221" s="92"/>
      <c r="R221" s="92"/>
      <c r="S221" s="92"/>
      <c r="T221" s="92"/>
    </row>
    <row r="222" spans="1:20" ht="48" customHeight="1" hidden="1" thickBot="1">
      <c r="A222" s="63"/>
      <c r="B222" s="8" t="s">
        <v>44</v>
      </c>
      <c r="C222" s="19"/>
      <c r="D222" s="19"/>
      <c r="E222" s="19"/>
      <c r="F222" s="19"/>
      <c r="G222" s="19"/>
      <c r="H222" s="19"/>
      <c r="I222" s="19"/>
      <c r="J222" s="19"/>
      <c r="K222" s="32"/>
      <c r="L222" s="91"/>
      <c r="M222" s="92"/>
      <c r="N222" s="92"/>
      <c r="O222" s="92"/>
      <c r="P222" s="92"/>
      <c r="Q222" s="92"/>
      <c r="R222" s="92"/>
      <c r="S222" s="92"/>
      <c r="T222" s="92"/>
    </row>
    <row r="223" spans="1:20" ht="63.75" thickBot="1">
      <c r="A223" s="63">
        <v>146</v>
      </c>
      <c r="B223" s="31" t="s">
        <v>55</v>
      </c>
      <c r="C223" s="18">
        <f>C224+C226</f>
        <v>45318.6</v>
      </c>
      <c r="D223" s="18">
        <f aca="true" t="shared" si="73" ref="D223:J223">D224+D226</f>
        <v>6149.5</v>
      </c>
      <c r="E223" s="18">
        <f t="shared" si="73"/>
        <v>6115.4</v>
      </c>
      <c r="F223" s="18">
        <f t="shared" si="73"/>
        <v>7379.7</v>
      </c>
      <c r="G223" s="18">
        <f t="shared" si="73"/>
        <v>6418.5</v>
      </c>
      <c r="H223" s="18">
        <f t="shared" si="73"/>
        <v>6418.5</v>
      </c>
      <c r="I223" s="18">
        <f t="shared" si="73"/>
        <v>6418.5</v>
      </c>
      <c r="J223" s="18">
        <f t="shared" si="73"/>
        <v>6418.5</v>
      </c>
      <c r="K223" s="32">
        <v>50.51</v>
      </c>
      <c r="L223" s="111">
        <f>L224+L225+L226+L227</f>
        <v>278700</v>
      </c>
      <c r="M223" s="112"/>
      <c r="N223" s="112"/>
      <c r="O223" s="112"/>
      <c r="P223" s="112"/>
      <c r="Q223" s="112"/>
      <c r="R223" s="112"/>
      <c r="S223" s="112"/>
      <c r="T223" s="112"/>
    </row>
    <row r="224" spans="1:21" ht="16.5" thickBot="1">
      <c r="A224" s="63">
        <v>147</v>
      </c>
      <c r="B224" s="8" t="s">
        <v>15</v>
      </c>
      <c r="C224" s="18">
        <f>D224+E224+F224+G224+H224+I224+J224</f>
        <v>31109.100000000002</v>
      </c>
      <c r="D224" s="19">
        <f>U224+U225+4200.9</f>
        <v>4200.9</v>
      </c>
      <c r="E224" s="19">
        <v>4484.7</v>
      </c>
      <c r="F224" s="19">
        <v>4484.7</v>
      </c>
      <c r="G224" s="19">
        <v>4484.7</v>
      </c>
      <c r="H224" s="19">
        <f aca="true" t="shared" si="74" ref="H224:J227">G224</f>
        <v>4484.7</v>
      </c>
      <c r="I224" s="19">
        <f t="shared" si="74"/>
        <v>4484.7</v>
      </c>
      <c r="J224" s="19">
        <f t="shared" si="74"/>
        <v>4484.7</v>
      </c>
      <c r="K224" s="32"/>
      <c r="L224" s="109">
        <f>-200000</f>
        <v>-200000</v>
      </c>
      <c r="M224" s="110"/>
      <c r="N224" s="110"/>
      <c r="O224" s="110"/>
      <c r="P224" s="110"/>
      <c r="Q224" s="110"/>
      <c r="R224" s="110"/>
      <c r="S224" s="110"/>
      <c r="T224" s="110"/>
      <c r="U224">
        <v>-200</v>
      </c>
    </row>
    <row r="225" spans="1:21" ht="53.25" customHeight="1" thickBot="1">
      <c r="A225" s="63">
        <v>148</v>
      </c>
      <c r="B225" s="8" t="s">
        <v>44</v>
      </c>
      <c r="C225" s="18">
        <f>D225+E225+F225+G225+H225+I225+J225</f>
        <v>23674.999999999996</v>
      </c>
      <c r="D225" s="19">
        <f>2679.3+U225</f>
        <v>2879.3</v>
      </c>
      <c r="E225" s="19">
        <v>2887.7</v>
      </c>
      <c r="F225" s="19">
        <v>3581.6</v>
      </c>
      <c r="G225" s="19">
        <f>F225</f>
        <v>3581.6</v>
      </c>
      <c r="H225" s="19">
        <f t="shared" si="74"/>
        <v>3581.6</v>
      </c>
      <c r="I225" s="19">
        <f t="shared" si="74"/>
        <v>3581.6</v>
      </c>
      <c r="J225" s="19">
        <f t="shared" si="74"/>
        <v>3581.6</v>
      </c>
      <c r="K225" s="32"/>
      <c r="L225" s="109">
        <f>200000</f>
        <v>200000</v>
      </c>
      <c r="M225" s="110"/>
      <c r="N225" s="110"/>
      <c r="O225" s="110"/>
      <c r="P225" s="110"/>
      <c r="Q225" s="110"/>
      <c r="R225" s="110"/>
      <c r="S225" s="110"/>
      <c r="T225" s="110"/>
      <c r="U225">
        <v>200</v>
      </c>
    </row>
    <row r="226" spans="1:28" ht="16.5" thickBot="1">
      <c r="A226" s="63">
        <v>149</v>
      </c>
      <c r="B226" s="8" t="s">
        <v>24</v>
      </c>
      <c r="C226" s="18">
        <f>D226+E226+F226+G226+H226+I226+J226</f>
        <v>14209.499999999998</v>
      </c>
      <c r="D226" s="19">
        <f>1590.6+U226+U227+79.8-0.5</f>
        <v>1948.6</v>
      </c>
      <c r="E226" s="19">
        <f>2054+W226+X226+Y226+AB226</f>
        <v>1630.7</v>
      </c>
      <c r="F226" s="19">
        <v>2895</v>
      </c>
      <c r="G226" s="19">
        <v>1933.8</v>
      </c>
      <c r="H226" s="19">
        <f t="shared" si="74"/>
        <v>1933.8</v>
      </c>
      <c r="I226" s="19">
        <f t="shared" si="74"/>
        <v>1933.8</v>
      </c>
      <c r="J226" s="19">
        <f t="shared" si="74"/>
        <v>1933.8</v>
      </c>
      <c r="K226" s="32"/>
      <c r="L226" s="109">
        <f>-82313.35</f>
        <v>-82313.35</v>
      </c>
      <c r="M226" s="110"/>
      <c r="N226" s="110"/>
      <c r="O226" s="110"/>
      <c r="P226" s="110"/>
      <c r="Q226" s="110"/>
      <c r="R226" s="110"/>
      <c r="S226" s="110"/>
      <c r="T226" s="110"/>
      <c r="U226">
        <v>-82.3</v>
      </c>
      <c r="W226">
        <v>-287.2</v>
      </c>
      <c r="X226">
        <v>-12.8</v>
      </c>
      <c r="Y226" s="49">
        <v>-121</v>
      </c>
      <c r="AB226" s="41">
        <v>-2.3</v>
      </c>
    </row>
    <row r="227" spans="1:28" ht="53.25" customHeight="1" thickBot="1">
      <c r="A227" s="63">
        <v>150</v>
      </c>
      <c r="B227" s="8" t="s">
        <v>44</v>
      </c>
      <c r="C227" s="18">
        <f>D227+E227+F227+G227+H227+I227+J227</f>
        <v>11877.400000000001</v>
      </c>
      <c r="D227" s="19">
        <f>1319.6+U227+15.3</f>
        <v>1695.8999999999999</v>
      </c>
      <c r="E227" s="19">
        <f>1685.1+W227+X227+Y227+AB227</f>
        <v>1447.1</v>
      </c>
      <c r="F227" s="19">
        <v>2626</v>
      </c>
      <c r="G227" s="19">
        <v>1527.1</v>
      </c>
      <c r="H227" s="19">
        <f t="shared" si="74"/>
        <v>1527.1</v>
      </c>
      <c r="I227" s="19">
        <f t="shared" si="74"/>
        <v>1527.1</v>
      </c>
      <c r="J227" s="19">
        <f t="shared" si="74"/>
        <v>1527.1</v>
      </c>
      <c r="K227" s="32"/>
      <c r="L227" s="109">
        <f>14296+68017.35+278700</f>
        <v>361013.35</v>
      </c>
      <c r="M227" s="110"/>
      <c r="N227" s="110"/>
      <c r="O227" s="110"/>
      <c r="P227" s="110"/>
      <c r="Q227" s="110"/>
      <c r="R227" s="110"/>
      <c r="S227" s="110"/>
      <c r="T227" s="110"/>
      <c r="U227">
        <v>361</v>
      </c>
      <c r="W227">
        <v>-287.2</v>
      </c>
      <c r="X227">
        <v>-12.8</v>
      </c>
      <c r="Y227" s="49">
        <f>94+33.7-63.4</f>
        <v>64.30000000000001</v>
      </c>
      <c r="AB227" s="41">
        <v>-2.3</v>
      </c>
    </row>
    <row r="228" spans="1:20" ht="15.75">
      <c r="A228" s="94">
        <v>151</v>
      </c>
      <c r="B228" s="12" t="s">
        <v>28</v>
      </c>
      <c r="C228" s="105"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7">
        <v>50.51</v>
      </c>
      <c r="L228" s="91"/>
      <c r="M228" s="92"/>
      <c r="N228" s="92"/>
      <c r="O228" s="92"/>
      <c r="P228" s="92"/>
      <c r="Q228" s="92"/>
      <c r="R228" s="92"/>
      <c r="S228" s="92"/>
      <c r="T228" s="92"/>
    </row>
    <row r="229" spans="1:20" ht="63.75" thickBot="1">
      <c r="A229" s="95"/>
      <c r="B229" s="8" t="s">
        <v>32</v>
      </c>
      <c r="C229" s="106"/>
      <c r="D229" s="106"/>
      <c r="E229" s="106"/>
      <c r="F229" s="106"/>
      <c r="G229" s="106"/>
      <c r="H229" s="106"/>
      <c r="I229" s="106"/>
      <c r="J229" s="106"/>
      <c r="K229" s="108"/>
      <c r="L229" s="91"/>
      <c r="M229" s="92"/>
      <c r="N229" s="92"/>
      <c r="O229" s="92"/>
      <c r="P229" s="92"/>
      <c r="Q229" s="92"/>
      <c r="R229" s="92"/>
      <c r="S229" s="92"/>
      <c r="T229" s="92"/>
    </row>
    <row r="230" spans="1:20" ht="16.5" thickBot="1">
      <c r="A230" s="63">
        <v>152</v>
      </c>
      <c r="B230" s="8" t="s">
        <v>16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32"/>
      <c r="L230" s="91"/>
      <c r="M230" s="92"/>
      <c r="N230" s="92"/>
      <c r="O230" s="92"/>
      <c r="P230" s="92"/>
      <c r="Q230" s="92"/>
      <c r="R230" s="92"/>
      <c r="S230" s="92"/>
      <c r="T230" s="92"/>
    </row>
    <row r="231" spans="1:20" ht="48" thickBot="1">
      <c r="A231" s="63">
        <v>153</v>
      </c>
      <c r="B231" s="8" t="s">
        <v>44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32"/>
      <c r="L231" s="91"/>
      <c r="M231" s="92"/>
      <c r="N231" s="92"/>
      <c r="O231" s="92"/>
      <c r="P231" s="92"/>
      <c r="Q231" s="92"/>
      <c r="R231" s="92"/>
      <c r="S231" s="92"/>
      <c r="T231" s="92"/>
    </row>
    <row r="232" spans="1:20" ht="57.75" customHeight="1" thickBot="1">
      <c r="A232" s="63">
        <v>154</v>
      </c>
      <c r="B232" s="31" t="s">
        <v>64</v>
      </c>
      <c r="C232" s="16">
        <f>C233+C235</f>
        <v>406.20000000000005</v>
      </c>
      <c r="D232" s="16">
        <f aca="true" t="shared" si="75" ref="D232:J232">D233+D235</f>
        <v>36</v>
      </c>
      <c r="E232" s="16">
        <f>E233+E235</f>
        <v>83</v>
      </c>
      <c r="F232" s="16">
        <f t="shared" si="75"/>
        <v>56</v>
      </c>
      <c r="G232" s="16">
        <f t="shared" si="75"/>
        <v>57.8</v>
      </c>
      <c r="H232" s="16">
        <f t="shared" si="75"/>
        <v>57.8</v>
      </c>
      <c r="I232" s="16">
        <f t="shared" si="75"/>
        <v>57.8</v>
      </c>
      <c r="J232" s="16">
        <f t="shared" si="75"/>
        <v>57.8</v>
      </c>
      <c r="K232" s="107">
        <v>50.51</v>
      </c>
      <c r="L232" s="91"/>
      <c r="M232" s="92"/>
      <c r="N232" s="92"/>
      <c r="O232" s="92"/>
      <c r="P232" s="92"/>
      <c r="Q232" s="92"/>
      <c r="R232" s="92"/>
      <c r="S232" s="92"/>
      <c r="T232" s="92"/>
    </row>
    <row r="233" spans="1:28" ht="16.5" thickBot="1">
      <c r="A233" s="63">
        <v>155</v>
      </c>
      <c r="B233" s="8" t="s">
        <v>15</v>
      </c>
      <c r="C233" s="13">
        <f>D233+E233+F233+G233+H233+I233+J233</f>
        <v>28.7</v>
      </c>
      <c r="D233" s="13">
        <v>0</v>
      </c>
      <c r="E233" s="13">
        <f>AB233</f>
        <v>28.7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08"/>
      <c r="L233" s="91"/>
      <c r="M233" s="92"/>
      <c r="N233" s="92"/>
      <c r="O233" s="92"/>
      <c r="P233" s="92"/>
      <c r="Q233" s="92"/>
      <c r="R233" s="92"/>
      <c r="S233" s="92"/>
      <c r="T233" s="92"/>
      <c r="AB233" s="41">
        <v>28.7</v>
      </c>
    </row>
    <row r="234" spans="1:20" ht="48" thickBot="1">
      <c r="A234" s="63">
        <v>156</v>
      </c>
      <c r="B234" s="8" t="s">
        <v>44</v>
      </c>
      <c r="C234" s="13">
        <f>D234+E234+F234+G234+H234+I234+J234</f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32"/>
      <c r="L234" s="91"/>
      <c r="M234" s="92"/>
      <c r="N234" s="92"/>
      <c r="O234" s="92"/>
      <c r="P234" s="92"/>
      <c r="Q234" s="92"/>
      <c r="R234" s="92"/>
      <c r="S234" s="92"/>
      <c r="T234" s="92"/>
    </row>
    <row r="235" spans="1:28" ht="16.5" thickBot="1">
      <c r="A235" s="63">
        <v>157</v>
      </c>
      <c r="B235" s="8" t="s">
        <v>16</v>
      </c>
      <c r="C235" s="13">
        <f>D235+E235+F235+G235+H235+I235+J235</f>
        <v>377.50000000000006</v>
      </c>
      <c r="D235" s="13">
        <f>50-14</f>
        <v>36</v>
      </c>
      <c r="E235" s="13">
        <f>52+AB235</f>
        <v>54.3</v>
      </c>
      <c r="F235" s="13">
        <v>56</v>
      </c>
      <c r="G235" s="13">
        <v>57.8</v>
      </c>
      <c r="H235" s="13">
        <f>G235</f>
        <v>57.8</v>
      </c>
      <c r="I235" s="13">
        <f>H235</f>
        <v>57.8</v>
      </c>
      <c r="J235" s="13">
        <f>I235</f>
        <v>57.8</v>
      </c>
      <c r="K235" s="32"/>
      <c r="L235" s="91"/>
      <c r="M235" s="92"/>
      <c r="N235" s="92"/>
      <c r="O235" s="92"/>
      <c r="P235" s="92"/>
      <c r="Q235" s="92"/>
      <c r="R235" s="92"/>
      <c r="S235" s="92"/>
      <c r="T235" s="92"/>
      <c r="AB235" s="41">
        <v>2.3</v>
      </c>
    </row>
    <row r="236" spans="1:28" ht="48" thickBot="1">
      <c r="A236" s="63">
        <v>158</v>
      </c>
      <c r="B236" s="8" t="s">
        <v>44</v>
      </c>
      <c r="C236" s="13">
        <f>D236+E236+F236+G236+H236+I236+J236</f>
        <v>51</v>
      </c>
      <c r="D236" s="13">
        <v>0</v>
      </c>
      <c r="E236" s="13">
        <f>AB236</f>
        <v>51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32"/>
      <c r="L236" s="91"/>
      <c r="M236" s="92"/>
      <c r="N236" s="92"/>
      <c r="O236" s="92"/>
      <c r="P236" s="92"/>
      <c r="Q236" s="92"/>
      <c r="R236" s="92"/>
      <c r="S236" s="92"/>
      <c r="T236" s="92"/>
      <c r="AB236" s="41">
        <v>51</v>
      </c>
    </row>
    <row r="237" spans="1:20" ht="177.75" customHeight="1" thickBot="1">
      <c r="A237" s="63">
        <v>159</v>
      </c>
      <c r="B237" s="36" t="s">
        <v>93</v>
      </c>
      <c r="C237" s="16">
        <f aca="true" t="shared" si="76" ref="C237:J237">C238+C240</f>
        <v>7385.7</v>
      </c>
      <c r="D237" s="16">
        <f t="shared" si="76"/>
        <v>1719.6999999999998</v>
      </c>
      <c r="E237" s="16">
        <f t="shared" si="76"/>
        <v>888.2</v>
      </c>
      <c r="F237" s="16">
        <f t="shared" si="76"/>
        <v>4777.8</v>
      </c>
      <c r="G237" s="16">
        <f t="shared" si="76"/>
        <v>0</v>
      </c>
      <c r="H237" s="16">
        <f t="shared" si="76"/>
        <v>0</v>
      </c>
      <c r="I237" s="16">
        <f t="shared" si="76"/>
        <v>0</v>
      </c>
      <c r="J237" s="16">
        <f t="shared" si="76"/>
        <v>0</v>
      </c>
      <c r="K237" s="34">
        <v>52.53</v>
      </c>
      <c r="L237" s="54"/>
      <c r="M237" s="55"/>
      <c r="N237" s="55"/>
      <c r="O237" s="55"/>
      <c r="P237" s="55"/>
      <c r="Q237" s="55"/>
      <c r="R237" s="55"/>
      <c r="S237" s="55"/>
      <c r="T237" s="55"/>
    </row>
    <row r="238" spans="1:20" ht="16.5" thickBot="1">
      <c r="A238" s="63">
        <v>160</v>
      </c>
      <c r="B238" s="8" t="s">
        <v>15</v>
      </c>
      <c r="C238" s="13">
        <f>D238+E238+F238+G238+H238+I238+J238</f>
        <v>4025.1</v>
      </c>
      <c r="D238" s="24">
        <v>1245.1</v>
      </c>
      <c r="E238" s="13">
        <f aca="true" t="shared" si="77" ref="E238:J239">E243+E248</f>
        <v>391.1</v>
      </c>
      <c r="F238" s="13">
        <v>2388.9</v>
      </c>
      <c r="G238" s="13">
        <f t="shared" si="77"/>
        <v>0</v>
      </c>
      <c r="H238" s="13">
        <f t="shared" si="77"/>
        <v>0</v>
      </c>
      <c r="I238" s="13">
        <f t="shared" si="77"/>
        <v>0</v>
      </c>
      <c r="J238" s="13">
        <f t="shared" si="77"/>
        <v>0</v>
      </c>
      <c r="K238" s="32"/>
      <c r="L238" s="91"/>
      <c r="M238" s="92"/>
      <c r="N238" s="92"/>
      <c r="O238" s="92"/>
      <c r="P238" s="92"/>
      <c r="Q238" s="92"/>
      <c r="R238" s="92"/>
      <c r="S238" s="92"/>
      <c r="T238" s="92"/>
    </row>
    <row r="239" spans="1:20" ht="32.25" thickBot="1">
      <c r="A239" s="63">
        <v>161</v>
      </c>
      <c r="B239" s="8" t="s">
        <v>74</v>
      </c>
      <c r="C239" s="13">
        <f>D239+E239+F239+G239+H239+I239+J239</f>
        <v>4025.1</v>
      </c>
      <c r="D239" s="24">
        <v>1245.1</v>
      </c>
      <c r="E239" s="13">
        <f t="shared" si="77"/>
        <v>391.1</v>
      </c>
      <c r="F239" s="13">
        <v>2388.9</v>
      </c>
      <c r="G239" s="13">
        <f t="shared" si="77"/>
        <v>0</v>
      </c>
      <c r="H239" s="13">
        <f t="shared" si="77"/>
        <v>0</v>
      </c>
      <c r="I239" s="13">
        <f t="shared" si="77"/>
        <v>0</v>
      </c>
      <c r="J239" s="13">
        <f t="shared" si="77"/>
        <v>0</v>
      </c>
      <c r="K239" s="32"/>
      <c r="L239" s="91"/>
      <c r="M239" s="92"/>
      <c r="N239" s="92"/>
      <c r="O239" s="92"/>
      <c r="P239" s="92"/>
      <c r="Q239" s="92"/>
      <c r="R239" s="92"/>
      <c r="S239" s="92"/>
      <c r="T239" s="92"/>
    </row>
    <row r="240" spans="1:20" ht="16.5" thickBot="1">
      <c r="A240" s="63">
        <v>162</v>
      </c>
      <c r="B240" s="8" t="s">
        <v>16</v>
      </c>
      <c r="C240" s="13">
        <f>D240+E240+F240+G240+H240+I240+J240</f>
        <v>3360.6</v>
      </c>
      <c r="D240" s="24">
        <f>D241</f>
        <v>474.5999999999999</v>
      </c>
      <c r="E240" s="24">
        <f aca="true" t="shared" si="78" ref="E240:J241">E245+E250+E255</f>
        <v>497.09999999999997</v>
      </c>
      <c r="F240" s="24">
        <f t="shared" si="78"/>
        <v>2388.9</v>
      </c>
      <c r="G240" s="24">
        <f t="shared" si="78"/>
        <v>0</v>
      </c>
      <c r="H240" s="24">
        <f t="shared" si="78"/>
        <v>0</v>
      </c>
      <c r="I240" s="24">
        <f t="shared" si="78"/>
        <v>0</v>
      </c>
      <c r="J240" s="24">
        <f t="shared" si="78"/>
        <v>0</v>
      </c>
      <c r="K240" s="32"/>
      <c r="L240" s="91"/>
      <c r="M240" s="92"/>
      <c r="N240" s="92"/>
      <c r="O240" s="92"/>
      <c r="P240" s="92"/>
      <c r="Q240" s="92"/>
      <c r="R240" s="92"/>
      <c r="S240" s="92"/>
      <c r="T240" s="92"/>
    </row>
    <row r="241" spans="1:31" s="41" customFormat="1" ht="32.25" thickBot="1">
      <c r="A241" s="63">
        <v>163</v>
      </c>
      <c r="B241" s="8" t="s">
        <v>75</v>
      </c>
      <c r="C241" s="13">
        <f>D241+E241+F241+G241+H241+I241+J241</f>
        <v>3360.6</v>
      </c>
      <c r="D241" s="13">
        <f>1245.1-770.5</f>
        <v>474.5999999999999</v>
      </c>
      <c r="E241" s="13">
        <f t="shared" si="78"/>
        <v>497.09999999999997</v>
      </c>
      <c r="F241" s="13">
        <f t="shared" si="78"/>
        <v>2388.9</v>
      </c>
      <c r="G241" s="13">
        <f t="shared" si="78"/>
        <v>0</v>
      </c>
      <c r="H241" s="13">
        <f t="shared" si="78"/>
        <v>0</v>
      </c>
      <c r="I241" s="13">
        <f t="shared" si="78"/>
        <v>0</v>
      </c>
      <c r="J241" s="13">
        <f t="shared" si="78"/>
        <v>0</v>
      </c>
      <c r="K241" s="32"/>
      <c r="L241" s="91"/>
      <c r="M241" s="92"/>
      <c r="N241" s="92"/>
      <c r="O241" s="92"/>
      <c r="P241" s="92"/>
      <c r="Q241" s="92"/>
      <c r="R241" s="92"/>
      <c r="S241" s="92"/>
      <c r="T241" s="92"/>
      <c r="U241"/>
      <c r="V241"/>
      <c r="W241"/>
      <c r="X241"/>
      <c r="Y241" s="49"/>
      <c r="AC241"/>
      <c r="AD241"/>
      <c r="AE241"/>
    </row>
    <row r="242" spans="1:31" s="41" customFormat="1" ht="177.75" customHeight="1" thickBot="1">
      <c r="A242" s="63">
        <v>164</v>
      </c>
      <c r="B242" s="36" t="s">
        <v>96</v>
      </c>
      <c r="C242" s="16">
        <f aca="true" t="shared" si="79" ref="C242:J242">C243+C245</f>
        <v>12420.199999999999</v>
      </c>
      <c r="D242" s="16">
        <f t="shared" si="79"/>
        <v>1719.6999999999998</v>
      </c>
      <c r="E242" s="16">
        <f t="shared" si="79"/>
        <v>782.2</v>
      </c>
      <c r="F242" s="16">
        <f t="shared" si="79"/>
        <v>9918.3</v>
      </c>
      <c r="G242" s="16">
        <f t="shared" si="79"/>
        <v>0</v>
      </c>
      <c r="H242" s="16">
        <f t="shared" si="79"/>
        <v>0</v>
      </c>
      <c r="I242" s="16">
        <f t="shared" si="79"/>
        <v>0</v>
      </c>
      <c r="J242" s="16">
        <f t="shared" si="79"/>
        <v>0</v>
      </c>
      <c r="K242" s="34">
        <v>52.53</v>
      </c>
      <c r="L242" s="54"/>
      <c r="M242" s="55"/>
      <c r="N242" s="55"/>
      <c r="O242" s="55"/>
      <c r="P242" s="55"/>
      <c r="Q242" s="55"/>
      <c r="R242" s="55"/>
      <c r="S242" s="55"/>
      <c r="T242" s="55"/>
      <c r="U242"/>
      <c r="V242"/>
      <c r="W242"/>
      <c r="X242"/>
      <c r="Y242" s="49"/>
      <c r="AC242"/>
      <c r="AD242"/>
      <c r="AE242"/>
    </row>
    <row r="243" spans="1:31" s="41" customFormat="1" ht="16.5" thickBot="1">
      <c r="A243" s="63">
        <v>165</v>
      </c>
      <c r="B243" s="8" t="s">
        <v>15</v>
      </c>
      <c r="C243" s="13">
        <f>D243+E243+F243+G243+H243+I243+J243</f>
        <v>9165.599999999999</v>
      </c>
      <c r="D243" s="24">
        <v>1245.1</v>
      </c>
      <c r="E243" s="13">
        <f>W243</f>
        <v>391.1</v>
      </c>
      <c r="F243" s="13">
        <f>F244</f>
        <v>7529.4</v>
      </c>
      <c r="G243" s="13">
        <v>0</v>
      </c>
      <c r="H243" s="13">
        <v>0</v>
      </c>
      <c r="I243" s="13">
        <v>0</v>
      </c>
      <c r="J243" s="13">
        <v>0</v>
      </c>
      <c r="K243" s="32"/>
      <c r="L243" s="91"/>
      <c r="M243" s="92"/>
      <c r="N243" s="92"/>
      <c r="O243" s="92"/>
      <c r="P243" s="92"/>
      <c r="Q243" s="92"/>
      <c r="R243" s="92"/>
      <c r="S243" s="92"/>
      <c r="T243" s="92"/>
      <c r="U243"/>
      <c r="V243"/>
      <c r="W243">
        <v>391.1</v>
      </c>
      <c r="X243"/>
      <c r="Y243" s="49"/>
      <c r="AC243"/>
      <c r="AD243"/>
      <c r="AE243"/>
    </row>
    <row r="244" spans="1:32" s="41" customFormat="1" ht="32.25" thickBot="1">
      <c r="A244" s="63">
        <v>166</v>
      </c>
      <c r="B244" s="8" t="s">
        <v>74</v>
      </c>
      <c r="C244" s="13">
        <f>D244+E244+F244+G244+H244+I244+J244</f>
        <v>9165.599999999999</v>
      </c>
      <c r="D244" s="24">
        <v>1245.1</v>
      </c>
      <c r="E244" s="13">
        <f>W244</f>
        <v>391.1</v>
      </c>
      <c r="F244" s="13">
        <f>AF244</f>
        <v>7529.4</v>
      </c>
      <c r="G244" s="13">
        <v>0</v>
      </c>
      <c r="H244" s="13">
        <v>0</v>
      </c>
      <c r="I244" s="13">
        <v>0</v>
      </c>
      <c r="J244" s="13">
        <v>0</v>
      </c>
      <c r="K244" s="32"/>
      <c r="L244" s="91"/>
      <c r="M244" s="92"/>
      <c r="N244" s="92"/>
      <c r="O244" s="92"/>
      <c r="P244" s="92"/>
      <c r="Q244" s="92"/>
      <c r="R244" s="92"/>
      <c r="S244" s="92"/>
      <c r="T244" s="92"/>
      <c r="U244"/>
      <c r="V244"/>
      <c r="W244">
        <v>391.1</v>
      </c>
      <c r="X244"/>
      <c r="Y244" s="49"/>
      <c r="AC244"/>
      <c r="AD244"/>
      <c r="AE244"/>
      <c r="AF244" s="41">
        <v>7529.4</v>
      </c>
    </row>
    <row r="245" spans="1:31" s="41" customFormat="1" ht="16.5" thickBot="1">
      <c r="A245" s="63">
        <v>167</v>
      </c>
      <c r="B245" s="8" t="s">
        <v>16</v>
      </c>
      <c r="C245" s="13">
        <f>D245+E245+F245+G245+H245+I245+J245</f>
        <v>3254.6</v>
      </c>
      <c r="D245" s="24">
        <f>D246</f>
        <v>474.5999999999999</v>
      </c>
      <c r="E245" s="24">
        <f>W245+X245+Y245</f>
        <v>391.09999999999997</v>
      </c>
      <c r="F245" s="13">
        <f>F246</f>
        <v>2388.9</v>
      </c>
      <c r="G245" s="13">
        <v>0</v>
      </c>
      <c r="H245" s="13">
        <v>0</v>
      </c>
      <c r="I245" s="13">
        <v>0</v>
      </c>
      <c r="J245" s="13">
        <v>0</v>
      </c>
      <c r="K245" s="32"/>
      <c r="L245" s="91"/>
      <c r="M245" s="92"/>
      <c r="N245" s="92"/>
      <c r="O245" s="92"/>
      <c r="P245" s="92"/>
      <c r="Q245" s="92"/>
      <c r="R245" s="92"/>
      <c r="S245" s="92"/>
      <c r="T245" s="92"/>
      <c r="U245"/>
      <c r="V245"/>
      <c r="W245">
        <v>287.2</v>
      </c>
      <c r="X245">
        <v>103.6</v>
      </c>
      <c r="Y245" s="49">
        <v>0.3</v>
      </c>
      <c r="AC245"/>
      <c r="AD245"/>
      <c r="AE245"/>
    </row>
    <row r="246" spans="1:32" s="41" customFormat="1" ht="32.25" thickBot="1">
      <c r="A246" s="63">
        <v>168</v>
      </c>
      <c r="B246" s="8" t="s">
        <v>75</v>
      </c>
      <c r="C246" s="13">
        <f>D246+E246+F246+G246+H246+I246+J246</f>
        <v>3254.6</v>
      </c>
      <c r="D246" s="13">
        <f>1245.1-770.5</f>
        <v>474.5999999999999</v>
      </c>
      <c r="E246" s="13">
        <f>W246+X246+Y246</f>
        <v>391.09999999999997</v>
      </c>
      <c r="F246" s="13">
        <f>AF246</f>
        <v>2388.9</v>
      </c>
      <c r="G246" s="13">
        <v>0</v>
      </c>
      <c r="H246" s="13">
        <v>0</v>
      </c>
      <c r="I246" s="13">
        <v>0</v>
      </c>
      <c r="J246" s="13">
        <v>0</v>
      </c>
      <c r="K246" s="32"/>
      <c r="L246" s="91"/>
      <c r="M246" s="92"/>
      <c r="N246" s="92"/>
      <c r="O246" s="92"/>
      <c r="P246" s="92"/>
      <c r="Q246" s="92"/>
      <c r="R246" s="92"/>
      <c r="S246" s="92"/>
      <c r="T246" s="92"/>
      <c r="U246"/>
      <c r="V246"/>
      <c r="W246">
        <v>287.2</v>
      </c>
      <c r="X246">
        <v>103.6</v>
      </c>
      <c r="Y246" s="49">
        <v>0.3</v>
      </c>
      <c r="AC246"/>
      <c r="AD246"/>
      <c r="AE246"/>
      <c r="AF246" s="41">
        <v>2388.9</v>
      </c>
    </row>
    <row r="247" spans="1:31" s="41" customFormat="1" ht="117" customHeight="1" thickBot="1">
      <c r="A247" s="63">
        <v>169</v>
      </c>
      <c r="B247" s="36" t="s">
        <v>97</v>
      </c>
      <c r="C247" s="16">
        <f aca="true" t="shared" si="80" ref="C247:J247">C248+C250</f>
        <v>94</v>
      </c>
      <c r="D247" s="16">
        <f t="shared" si="80"/>
        <v>0</v>
      </c>
      <c r="E247" s="16">
        <f t="shared" si="80"/>
        <v>94</v>
      </c>
      <c r="F247" s="16">
        <f t="shared" si="80"/>
        <v>0</v>
      </c>
      <c r="G247" s="16">
        <f t="shared" si="80"/>
        <v>0</v>
      </c>
      <c r="H247" s="16">
        <f t="shared" si="80"/>
        <v>0</v>
      </c>
      <c r="I247" s="16">
        <f t="shared" si="80"/>
        <v>0</v>
      </c>
      <c r="J247" s="16">
        <f t="shared" si="80"/>
        <v>0</v>
      </c>
      <c r="K247" s="34">
        <v>52.53</v>
      </c>
      <c r="L247" s="54"/>
      <c r="M247" s="55"/>
      <c r="N247" s="55"/>
      <c r="O247" s="55"/>
      <c r="P247" s="55"/>
      <c r="Q247" s="55"/>
      <c r="R247" s="55"/>
      <c r="S247" s="55"/>
      <c r="T247" s="55"/>
      <c r="U247"/>
      <c r="V247"/>
      <c r="W247"/>
      <c r="X247"/>
      <c r="Y247" s="49"/>
      <c r="AC247"/>
      <c r="AD247"/>
      <c r="AE247"/>
    </row>
    <row r="248" spans="1:31" s="41" customFormat="1" ht="16.5" thickBot="1">
      <c r="A248" s="63">
        <v>170</v>
      </c>
      <c r="B248" s="8" t="s">
        <v>15</v>
      </c>
      <c r="C248" s="13">
        <f>D248+E248+F248+G248+H248+I248+J248</f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32"/>
      <c r="L248" s="91"/>
      <c r="M248" s="92"/>
      <c r="N248" s="92"/>
      <c r="O248" s="92"/>
      <c r="P248" s="92"/>
      <c r="Q248" s="92"/>
      <c r="R248" s="92"/>
      <c r="S248" s="92"/>
      <c r="T248" s="92"/>
      <c r="U248"/>
      <c r="V248"/>
      <c r="W248"/>
      <c r="X248"/>
      <c r="Y248" s="49"/>
      <c r="AC248"/>
      <c r="AD248"/>
      <c r="AE248"/>
    </row>
    <row r="249" spans="1:31" s="41" customFormat="1" ht="32.25" thickBot="1">
      <c r="A249" s="63">
        <v>171</v>
      </c>
      <c r="B249" s="8" t="s">
        <v>74</v>
      </c>
      <c r="C249" s="13">
        <f>D249+E249+F249+G249+H249+I249+J249</f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32"/>
      <c r="L249" s="91"/>
      <c r="M249" s="92"/>
      <c r="N249" s="92"/>
      <c r="O249" s="92"/>
      <c r="P249" s="92"/>
      <c r="Q249" s="92"/>
      <c r="R249" s="92"/>
      <c r="S249" s="92"/>
      <c r="T249" s="92"/>
      <c r="U249"/>
      <c r="V249"/>
      <c r="W249"/>
      <c r="X249"/>
      <c r="Y249" s="49"/>
      <c r="AC249"/>
      <c r="AD249"/>
      <c r="AE249"/>
    </row>
    <row r="250" spans="1:31" s="41" customFormat="1" ht="16.5" thickBot="1">
      <c r="A250" s="63">
        <v>172</v>
      </c>
      <c r="B250" s="8" t="s">
        <v>16</v>
      </c>
      <c r="C250" s="13">
        <f>D250+E250+F250+G250+H250+I250+J250</f>
        <v>94</v>
      </c>
      <c r="D250" s="24">
        <f>D251</f>
        <v>0</v>
      </c>
      <c r="E250" s="24">
        <f>E251</f>
        <v>94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32"/>
      <c r="L250" s="91"/>
      <c r="M250" s="92"/>
      <c r="N250" s="92"/>
      <c r="O250" s="92"/>
      <c r="P250" s="92"/>
      <c r="Q250" s="92"/>
      <c r="R250" s="92"/>
      <c r="S250" s="92"/>
      <c r="T250" s="92"/>
      <c r="U250"/>
      <c r="V250">
        <v>94.3</v>
      </c>
      <c r="W250"/>
      <c r="X250"/>
      <c r="Y250" s="49">
        <v>-0.3</v>
      </c>
      <c r="AC250"/>
      <c r="AD250"/>
      <c r="AE250"/>
    </row>
    <row r="251" spans="1:31" s="41" customFormat="1" ht="32.25" thickBot="1">
      <c r="A251" s="63">
        <v>173</v>
      </c>
      <c r="B251" s="8" t="s">
        <v>75</v>
      </c>
      <c r="C251" s="13">
        <f>D251+E251+F251+G251+H251+I251+J251</f>
        <v>94</v>
      </c>
      <c r="D251" s="13">
        <v>0</v>
      </c>
      <c r="E251" s="13">
        <f>V251+Y251</f>
        <v>94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32"/>
      <c r="L251" s="91"/>
      <c r="M251" s="92"/>
      <c r="N251" s="92"/>
      <c r="O251" s="92"/>
      <c r="P251" s="92"/>
      <c r="Q251" s="92"/>
      <c r="R251" s="92"/>
      <c r="S251" s="92"/>
      <c r="T251" s="92"/>
      <c r="U251"/>
      <c r="V251">
        <v>94.3</v>
      </c>
      <c r="W251"/>
      <c r="X251"/>
      <c r="Y251" s="49">
        <v>-0.3</v>
      </c>
      <c r="AC251"/>
      <c r="AD251"/>
      <c r="AE251"/>
    </row>
    <row r="252" spans="1:31" s="41" customFormat="1" ht="86.25" customHeight="1" thickBot="1">
      <c r="A252" s="63">
        <v>169</v>
      </c>
      <c r="B252" s="36" t="s">
        <v>104</v>
      </c>
      <c r="C252" s="16">
        <f aca="true" t="shared" si="81" ref="C252:J252">C253+C257</f>
        <v>0</v>
      </c>
      <c r="D252" s="16">
        <f t="shared" si="81"/>
        <v>0</v>
      </c>
      <c r="E252" s="16">
        <f t="shared" si="81"/>
        <v>0</v>
      </c>
      <c r="F252" s="16">
        <f t="shared" si="81"/>
        <v>0</v>
      </c>
      <c r="G252" s="16">
        <f t="shared" si="81"/>
        <v>0</v>
      </c>
      <c r="H252" s="16">
        <f t="shared" si="81"/>
        <v>0</v>
      </c>
      <c r="I252" s="16">
        <f t="shared" si="81"/>
        <v>0</v>
      </c>
      <c r="J252" s="16">
        <f t="shared" si="81"/>
        <v>0</v>
      </c>
      <c r="K252" s="34">
        <v>52.53</v>
      </c>
      <c r="L252" s="54"/>
      <c r="M252" s="55"/>
      <c r="N252" s="55"/>
      <c r="O252" s="55"/>
      <c r="P252" s="55"/>
      <c r="Q252" s="55"/>
      <c r="R252" s="55"/>
      <c r="S252" s="55"/>
      <c r="T252" s="55"/>
      <c r="U252"/>
      <c r="V252"/>
      <c r="W252"/>
      <c r="X252"/>
      <c r="Y252" s="49"/>
      <c r="AC252"/>
      <c r="AD252"/>
      <c r="AE252"/>
    </row>
    <row r="253" spans="1:31" s="41" customFormat="1" ht="16.5" thickBot="1">
      <c r="A253" s="63">
        <v>170</v>
      </c>
      <c r="B253" s="8" t="s">
        <v>15</v>
      </c>
      <c r="C253" s="13">
        <f>D253+E253+F253+G253+H253+I253+J253</f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32"/>
      <c r="L253" s="91"/>
      <c r="M253" s="92"/>
      <c r="N253" s="92"/>
      <c r="O253" s="92"/>
      <c r="P253" s="92"/>
      <c r="Q253" s="92"/>
      <c r="R253" s="92"/>
      <c r="S253" s="92"/>
      <c r="T253" s="92"/>
      <c r="U253"/>
      <c r="V253"/>
      <c r="W253"/>
      <c r="X253"/>
      <c r="Y253" s="49"/>
      <c r="AC253"/>
      <c r="AD253"/>
      <c r="AE253"/>
    </row>
    <row r="254" spans="1:31" s="41" customFormat="1" ht="32.25" thickBot="1">
      <c r="A254" s="63">
        <v>171</v>
      </c>
      <c r="B254" s="8" t="s">
        <v>74</v>
      </c>
      <c r="C254" s="13">
        <f>D254+E254+F254+G254+H254+I254+J254</f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32"/>
      <c r="L254" s="91"/>
      <c r="M254" s="92"/>
      <c r="N254" s="92"/>
      <c r="O254" s="92"/>
      <c r="P254" s="92"/>
      <c r="Q254" s="92"/>
      <c r="R254" s="92"/>
      <c r="S254" s="92"/>
      <c r="T254" s="92"/>
      <c r="U254"/>
      <c r="V254"/>
      <c r="W254"/>
      <c r="X254"/>
      <c r="Y254" s="49"/>
      <c r="AC254"/>
      <c r="AD254"/>
      <c r="AE254"/>
    </row>
    <row r="255" spans="1:31" s="41" customFormat="1" ht="16.5" thickBot="1">
      <c r="A255" s="63">
        <v>172</v>
      </c>
      <c r="B255" s="8" t="s">
        <v>16</v>
      </c>
      <c r="C255" s="13">
        <f>D255+E255+F255+G255+H255+I255+J255</f>
        <v>12</v>
      </c>
      <c r="D255" s="24">
        <f>D256</f>
        <v>0</v>
      </c>
      <c r="E255" s="24">
        <f>E256</f>
        <v>12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32"/>
      <c r="L255" s="91"/>
      <c r="M255" s="92"/>
      <c r="N255" s="92"/>
      <c r="O255" s="92"/>
      <c r="P255" s="92"/>
      <c r="Q255" s="92"/>
      <c r="R255" s="92"/>
      <c r="S255" s="92"/>
      <c r="T255" s="92"/>
      <c r="U255"/>
      <c r="V255"/>
      <c r="W255"/>
      <c r="X255"/>
      <c r="Y255" s="49"/>
      <c r="AA255" s="41">
        <v>12</v>
      </c>
      <c r="AC255"/>
      <c r="AD255"/>
      <c r="AE255"/>
    </row>
    <row r="256" spans="1:31" s="41" customFormat="1" ht="32.25" thickBot="1">
      <c r="A256" s="63">
        <v>173</v>
      </c>
      <c r="B256" s="8" t="s">
        <v>75</v>
      </c>
      <c r="C256" s="13">
        <f>D256+E256+F256+G256+H256+I256+J256</f>
        <v>12</v>
      </c>
      <c r="D256" s="13">
        <v>0</v>
      </c>
      <c r="E256" s="13">
        <f>V256+Y256+AA256</f>
        <v>12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32"/>
      <c r="L256" s="91"/>
      <c r="M256" s="92"/>
      <c r="N256" s="92"/>
      <c r="O256" s="92"/>
      <c r="P256" s="92"/>
      <c r="Q256" s="92"/>
      <c r="R256" s="92"/>
      <c r="S256" s="92"/>
      <c r="T256" s="92"/>
      <c r="U256"/>
      <c r="V256"/>
      <c r="W256"/>
      <c r="X256"/>
      <c r="Y256" s="49"/>
      <c r="AA256" s="41">
        <v>12</v>
      </c>
      <c r="AC256"/>
      <c r="AD256"/>
      <c r="AE256"/>
    </row>
    <row r="257" spans="1:28" ht="31.5" customHeight="1" thickBot="1">
      <c r="A257" s="63">
        <v>174</v>
      </c>
      <c r="B257" s="102" t="s">
        <v>34</v>
      </c>
      <c r="C257" s="103"/>
      <c r="D257" s="103"/>
      <c r="E257" s="103"/>
      <c r="F257" s="103"/>
      <c r="G257" s="103"/>
      <c r="H257" s="103"/>
      <c r="I257" s="103"/>
      <c r="J257" s="103"/>
      <c r="K257" s="104"/>
      <c r="L257" s="91"/>
      <c r="M257" s="92"/>
      <c r="N257" s="92"/>
      <c r="O257" s="92"/>
      <c r="P257" s="92"/>
      <c r="Q257" s="92"/>
      <c r="R257" s="92"/>
      <c r="S257" s="92"/>
      <c r="T257" s="92"/>
      <c r="AB257" s="41">
        <f>AB273</f>
        <v>34.9</v>
      </c>
    </row>
    <row r="258" spans="1:20" ht="48" thickBot="1">
      <c r="A258" s="63">
        <v>175</v>
      </c>
      <c r="B258" s="8" t="s">
        <v>20</v>
      </c>
      <c r="C258" s="16">
        <f>C259+C261</f>
        <v>1230.8</v>
      </c>
      <c r="D258" s="16">
        <f>D259+D261</f>
        <v>120.9</v>
      </c>
      <c r="E258" s="16">
        <f aca="true" t="shared" si="82" ref="E258:J258">E259+E261</f>
        <v>207.1</v>
      </c>
      <c r="F258" s="16">
        <f t="shared" si="82"/>
        <v>183.8</v>
      </c>
      <c r="G258" s="16">
        <f t="shared" si="82"/>
        <v>181.3</v>
      </c>
      <c r="H258" s="16">
        <f t="shared" si="82"/>
        <v>181.3</v>
      </c>
      <c r="I258" s="16">
        <f t="shared" si="82"/>
        <v>181.3</v>
      </c>
      <c r="J258" s="16">
        <f t="shared" si="82"/>
        <v>181.3</v>
      </c>
      <c r="K258" s="10"/>
      <c r="L258" s="91"/>
      <c r="M258" s="92"/>
      <c r="N258" s="92"/>
      <c r="O258" s="92"/>
      <c r="P258" s="92"/>
      <c r="Q258" s="92"/>
      <c r="R258" s="92"/>
      <c r="S258" s="92"/>
      <c r="T258" s="92"/>
    </row>
    <row r="259" spans="1:20" ht="16.5" thickBot="1">
      <c r="A259" s="63">
        <v>176</v>
      </c>
      <c r="B259" s="8" t="s">
        <v>15</v>
      </c>
      <c r="C259" s="13">
        <f aca="true" t="shared" si="83" ref="C259:J260">C268+C233</f>
        <v>28.7</v>
      </c>
      <c r="D259" s="13">
        <f t="shared" si="83"/>
        <v>0</v>
      </c>
      <c r="E259" s="13">
        <f>E273+E268</f>
        <v>34.9</v>
      </c>
      <c r="F259" s="13">
        <f t="shared" si="83"/>
        <v>0</v>
      </c>
      <c r="G259" s="13">
        <f t="shared" si="83"/>
        <v>0</v>
      </c>
      <c r="H259" s="13">
        <f t="shared" si="83"/>
        <v>0</v>
      </c>
      <c r="I259" s="13">
        <f t="shared" si="83"/>
        <v>0</v>
      </c>
      <c r="J259" s="13">
        <f t="shared" si="83"/>
        <v>0</v>
      </c>
      <c r="K259" s="10"/>
      <c r="L259" s="91"/>
      <c r="M259" s="92"/>
      <c r="N259" s="92"/>
      <c r="O259" s="92"/>
      <c r="P259" s="92"/>
      <c r="Q259" s="92"/>
      <c r="R259" s="92"/>
      <c r="S259" s="92"/>
      <c r="T259" s="92"/>
    </row>
    <row r="260" spans="1:20" ht="48" thickBot="1">
      <c r="A260" s="63">
        <v>177</v>
      </c>
      <c r="B260" s="8" t="s">
        <v>44</v>
      </c>
      <c r="C260" s="13">
        <f t="shared" si="83"/>
        <v>0</v>
      </c>
      <c r="D260" s="13">
        <f t="shared" si="83"/>
        <v>0</v>
      </c>
      <c r="E260" s="13">
        <f>E269+E234</f>
        <v>0</v>
      </c>
      <c r="F260" s="13">
        <f t="shared" si="83"/>
        <v>0</v>
      </c>
      <c r="G260" s="13">
        <f t="shared" si="83"/>
        <v>0</v>
      </c>
      <c r="H260" s="13">
        <f t="shared" si="83"/>
        <v>0</v>
      </c>
      <c r="I260" s="13">
        <f t="shared" si="83"/>
        <v>0</v>
      </c>
      <c r="J260" s="13">
        <f t="shared" si="83"/>
        <v>0</v>
      </c>
      <c r="K260" s="10"/>
      <c r="L260" s="91"/>
      <c r="M260" s="92"/>
      <c r="N260" s="92"/>
      <c r="O260" s="92"/>
      <c r="P260" s="92"/>
      <c r="Q260" s="92"/>
      <c r="R260" s="92"/>
      <c r="S260" s="92"/>
      <c r="T260" s="92"/>
    </row>
    <row r="261" spans="1:20" ht="16.5" thickBot="1">
      <c r="A261" s="63">
        <v>178</v>
      </c>
      <c r="B261" s="8" t="s">
        <v>16</v>
      </c>
      <c r="C261" s="13">
        <f>C270+C275</f>
        <v>1202.1</v>
      </c>
      <c r="D261" s="13">
        <f>D270</f>
        <v>120.9</v>
      </c>
      <c r="E261" s="13">
        <f aca="true" t="shared" si="84" ref="E261:J261">E270+E275</f>
        <v>172.2</v>
      </c>
      <c r="F261" s="13">
        <f t="shared" si="84"/>
        <v>183.8</v>
      </c>
      <c r="G261" s="13">
        <f t="shared" si="84"/>
        <v>181.3</v>
      </c>
      <c r="H261" s="13">
        <f t="shared" si="84"/>
        <v>181.3</v>
      </c>
      <c r="I261" s="13">
        <f t="shared" si="84"/>
        <v>181.3</v>
      </c>
      <c r="J261" s="13">
        <f t="shared" si="84"/>
        <v>181.3</v>
      </c>
      <c r="K261" s="10"/>
      <c r="L261" s="91"/>
      <c r="M261" s="92"/>
      <c r="N261" s="92"/>
      <c r="O261" s="92"/>
      <c r="P261" s="92"/>
      <c r="Q261" s="92"/>
      <c r="R261" s="92"/>
      <c r="S261" s="92"/>
      <c r="T261" s="92"/>
    </row>
    <row r="262" spans="1:20" ht="48" thickBot="1">
      <c r="A262" s="63">
        <v>179</v>
      </c>
      <c r="B262" s="8" t="s">
        <v>44</v>
      </c>
      <c r="C262" s="13">
        <f>C271+C236</f>
        <v>739.4</v>
      </c>
      <c r="D262" s="13">
        <f aca="true" t="shared" si="85" ref="D262:J262">D271+D236</f>
        <v>84.80000000000001</v>
      </c>
      <c r="E262" s="13">
        <f t="shared" si="85"/>
        <v>142.1</v>
      </c>
      <c r="F262" s="13">
        <f t="shared" si="85"/>
        <v>102.5</v>
      </c>
      <c r="G262" s="13">
        <f t="shared" si="85"/>
        <v>102.5</v>
      </c>
      <c r="H262" s="13">
        <f t="shared" si="85"/>
        <v>102.5</v>
      </c>
      <c r="I262" s="13">
        <f t="shared" si="85"/>
        <v>102.5</v>
      </c>
      <c r="J262" s="13">
        <f t="shared" si="85"/>
        <v>102.5</v>
      </c>
      <c r="K262" s="10"/>
      <c r="L262" s="91"/>
      <c r="M262" s="92"/>
      <c r="N262" s="92"/>
      <c r="O262" s="92"/>
      <c r="P262" s="92"/>
      <c r="Q262" s="92"/>
      <c r="R262" s="92"/>
      <c r="S262" s="92"/>
      <c r="T262" s="92"/>
    </row>
    <row r="263" spans="1:20" ht="16.5" customHeight="1" hidden="1" thickBot="1">
      <c r="A263" s="63"/>
      <c r="B263" s="8" t="s">
        <v>17</v>
      </c>
      <c r="C263" s="13"/>
      <c r="D263" s="13"/>
      <c r="E263" s="13"/>
      <c r="F263" s="13"/>
      <c r="G263" s="13"/>
      <c r="H263" s="13"/>
      <c r="I263" s="13"/>
      <c r="J263" s="13"/>
      <c r="K263" s="10"/>
      <c r="L263" s="91"/>
      <c r="M263" s="92"/>
      <c r="N263" s="92"/>
      <c r="O263" s="92"/>
      <c r="P263" s="92"/>
      <c r="Q263" s="92"/>
      <c r="R263" s="92"/>
      <c r="S263" s="92"/>
      <c r="T263" s="92"/>
    </row>
    <row r="264" spans="1:20" ht="16.5" customHeight="1" hidden="1" thickBot="1">
      <c r="A264" s="63"/>
      <c r="B264" s="8" t="s">
        <v>15</v>
      </c>
      <c r="C264" s="13"/>
      <c r="D264" s="13"/>
      <c r="E264" s="13"/>
      <c r="F264" s="13"/>
      <c r="G264" s="13"/>
      <c r="H264" s="13"/>
      <c r="I264" s="13"/>
      <c r="J264" s="13"/>
      <c r="K264" s="10"/>
      <c r="L264" s="91"/>
      <c r="M264" s="92"/>
      <c r="N264" s="92"/>
      <c r="O264" s="92"/>
      <c r="P264" s="92"/>
      <c r="Q264" s="92"/>
      <c r="R264" s="92"/>
      <c r="S264" s="92"/>
      <c r="T264" s="92"/>
    </row>
    <row r="265" spans="1:20" ht="16.5" customHeight="1" hidden="1" thickBot="1">
      <c r="A265" s="63"/>
      <c r="B265" s="8" t="s">
        <v>16</v>
      </c>
      <c r="C265" s="13"/>
      <c r="D265" s="13"/>
      <c r="E265" s="13"/>
      <c r="F265" s="13"/>
      <c r="G265" s="13"/>
      <c r="H265" s="13"/>
      <c r="I265" s="13"/>
      <c r="J265" s="13"/>
      <c r="K265" s="10"/>
      <c r="L265" s="91"/>
      <c r="M265" s="92"/>
      <c r="N265" s="92"/>
      <c r="O265" s="92"/>
      <c r="P265" s="92"/>
      <c r="Q265" s="92"/>
      <c r="R265" s="92"/>
      <c r="S265" s="92"/>
      <c r="T265" s="92"/>
    </row>
    <row r="266" spans="1:20" ht="48" customHeight="1" hidden="1" thickBot="1">
      <c r="A266" s="63"/>
      <c r="B266" s="8" t="s">
        <v>33</v>
      </c>
      <c r="C266" s="13"/>
      <c r="D266" s="13"/>
      <c r="E266" s="13"/>
      <c r="F266" s="13"/>
      <c r="G266" s="13"/>
      <c r="H266" s="13"/>
      <c r="I266" s="13"/>
      <c r="J266" s="13"/>
      <c r="K266" s="10"/>
      <c r="L266" s="91"/>
      <c r="M266" s="92"/>
      <c r="N266" s="92"/>
      <c r="O266" s="92"/>
      <c r="P266" s="92"/>
      <c r="Q266" s="92"/>
      <c r="R266" s="92"/>
      <c r="S266" s="92"/>
      <c r="T266" s="92"/>
    </row>
    <row r="267" spans="1:20" ht="102" customHeight="1" thickBot="1">
      <c r="A267" s="63">
        <v>180</v>
      </c>
      <c r="B267" s="31" t="s">
        <v>65</v>
      </c>
      <c r="C267" s="16">
        <f>C268+C270</f>
        <v>865.9</v>
      </c>
      <c r="D267" s="16">
        <f aca="true" t="shared" si="86" ref="D267:J267">D268+D270</f>
        <v>120.9</v>
      </c>
      <c r="E267" s="16">
        <f t="shared" si="86"/>
        <v>117.5</v>
      </c>
      <c r="F267" s="16">
        <f t="shared" si="86"/>
        <v>127.5</v>
      </c>
      <c r="G267" s="16">
        <f t="shared" si="86"/>
        <v>125</v>
      </c>
      <c r="H267" s="16">
        <f t="shared" si="86"/>
        <v>125</v>
      </c>
      <c r="I267" s="16">
        <f t="shared" si="86"/>
        <v>125</v>
      </c>
      <c r="J267" s="16">
        <f t="shared" si="86"/>
        <v>125</v>
      </c>
      <c r="K267" s="29">
        <v>56.57</v>
      </c>
      <c r="L267" s="91"/>
      <c r="M267" s="92"/>
      <c r="N267" s="92"/>
      <c r="O267" s="92"/>
      <c r="P267" s="92"/>
      <c r="Q267" s="92"/>
      <c r="R267" s="92"/>
      <c r="S267" s="92"/>
      <c r="T267" s="92"/>
    </row>
    <row r="268" spans="1:20" ht="16.5" thickBot="1">
      <c r="A268" s="63">
        <v>181</v>
      </c>
      <c r="B268" s="8" t="s">
        <v>15</v>
      </c>
      <c r="C268" s="13">
        <f>D268+E268+F268+G268+H268+I268+J268</f>
        <v>0</v>
      </c>
      <c r="D268" s="13"/>
      <c r="E268" s="13"/>
      <c r="F268" s="13"/>
      <c r="G268" s="13"/>
      <c r="H268" s="13"/>
      <c r="I268" s="13"/>
      <c r="J268" s="13"/>
      <c r="K268" s="10"/>
      <c r="L268" s="91"/>
      <c r="M268" s="92"/>
      <c r="N268" s="92"/>
      <c r="O268" s="92"/>
      <c r="P268" s="92"/>
      <c r="Q268" s="92"/>
      <c r="R268" s="92"/>
      <c r="S268" s="92"/>
      <c r="T268" s="92"/>
    </row>
    <row r="269" spans="1:20" ht="48" thickBot="1">
      <c r="A269" s="63">
        <v>182</v>
      </c>
      <c r="B269" s="8" t="s">
        <v>44</v>
      </c>
      <c r="C269" s="13">
        <f>D269+E269+F269+G269+H269+I269+J269</f>
        <v>0</v>
      </c>
      <c r="D269" s="13"/>
      <c r="E269" s="13"/>
      <c r="F269" s="13"/>
      <c r="G269" s="13"/>
      <c r="H269" s="13"/>
      <c r="I269" s="13"/>
      <c r="J269" s="13"/>
      <c r="K269" s="10"/>
      <c r="L269" s="91"/>
      <c r="M269" s="92"/>
      <c r="N269" s="92"/>
      <c r="O269" s="92"/>
      <c r="P269" s="92"/>
      <c r="Q269" s="92"/>
      <c r="R269" s="92"/>
      <c r="S269" s="92"/>
      <c r="T269" s="92"/>
    </row>
    <row r="270" spans="1:30" ht="16.5" thickBot="1">
      <c r="A270" s="63">
        <v>183</v>
      </c>
      <c r="B270" s="8" t="s">
        <v>16</v>
      </c>
      <c r="C270" s="13">
        <f>D270+E270+F270+G270+H270+I270+J270</f>
        <v>865.9</v>
      </c>
      <c r="D270" s="13">
        <v>120.9</v>
      </c>
      <c r="E270" s="13">
        <f>101+Y270+AD270</f>
        <v>117.5</v>
      </c>
      <c r="F270" s="13">
        <v>127.5</v>
      </c>
      <c r="G270" s="13">
        <v>125</v>
      </c>
      <c r="H270" s="13">
        <f aca="true" t="shared" si="87" ref="G270:J271">G270</f>
        <v>125</v>
      </c>
      <c r="I270" s="13">
        <f t="shared" si="87"/>
        <v>125</v>
      </c>
      <c r="J270" s="13">
        <f t="shared" si="87"/>
        <v>125</v>
      </c>
      <c r="K270" s="10"/>
      <c r="L270" s="91"/>
      <c r="M270" s="92"/>
      <c r="N270" s="92"/>
      <c r="O270" s="92"/>
      <c r="P270" s="92"/>
      <c r="Q270" s="92"/>
      <c r="R270" s="92"/>
      <c r="S270" s="92"/>
      <c r="T270" s="92"/>
      <c r="Y270" s="49">
        <v>16.9</v>
      </c>
      <c r="AD270">
        <v>-0.4</v>
      </c>
    </row>
    <row r="271" spans="1:25" ht="48" thickBot="1">
      <c r="A271" s="63">
        <v>184</v>
      </c>
      <c r="B271" s="8" t="s">
        <v>44</v>
      </c>
      <c r="C271" s="13">
        <f>D271+E271+F271+G271+H271+I271+J271</f>
        <v>688.4</v>
      </c>
      <c r="D271" s="13">
        <f>126.4-41.6</f>
        <v>84.80000000000001</v>
      </c>
      <c r="E271" s="13">
        <f>55+Y271</f>
        <v>91.1</v>
      </c>
      <c r="F271" s="13">
        <v>102.5</v>
      </c>
      <c r="G271" s="13">
        <f t="shared" si="87"/>
        <v>102.5</v>
      </c>
      <c r="H271" s="13">
        <f t="shared" si="87"/>
        <v>102.5</v>
      </c>
      <c r="I271" s="13">
        <f t="shared" si="87"/>
        <v>102.5</v>
      </c>
      <c r="J271" s="13">
        <f t="shared" si="87"/>
        <v>102.5</v>
      </c>
      <c r="K271" s="10"/>
      <c r="L271" s="91"/>
      <c r="M271" s="92"/>
      <c r="N271" s="92"/>
      <c r="O271" s="92"/>
      <c r="P271" s="92"/>
      <c r="Q271" s="92"/>
      <c r="R271" s="92"/>
      <c r="S271" s="92"/>
      <c r="T271" s="92"/>
      <c r="Y271" s="49">
        <f>46-9.9</f>
        <v>36.1</v>
      </c>
    </row>
    <row r="272" spans="1:20" ht="125.25" customHeight="1" thickBot="1">
      <c r="A272" s="63">
        <v>185</v>
      </c>
      <c r="B272" s="31" t="s">
        <v>94</v>
      </c>
      <c r="C272" s="16">
        <f>C273+C275</f>
        <v>371.1</v>
      </c>
      <c r="D272" s="16">
        <f aca="true" t="shared" si="88" ref="D272:J272">D273+D275</f>
        <v>0</v>
      </c>
      <c r="E272" s="16">
        <f t="shared" si="88"/>
        <v>89.6</v>
      </c>
      <c r="F272" s="16">
        <f t="shared" si="88"/>
        <v>56.3</v>
      </c>
      <c r="G272" s="16">
        <f t="shared" si="88"/>
        <v>56.3</v>
      </c>
      <c r="H272" s="16">
        <f t="shared" si="88"/>
        <v>56.3</v>
      </c>
      <c r="I272" s="16">
        <f t="shared" si="88"/>
        <v>56.3</v>
      </c>
      <c r="J272" s="16">
        <f t="shared" si="88"/>
        <v>56.3</v>
      </c>
      <c r="K272" s="29">
        <v>56.57</v>
      </c>
      <c r="L272" s="91"/>
      <c r="M272" s="92"/>
      <c r="N272" s="92"/>
      <c r="O272" s="92"/>
      <c r="P272" s="92"/>
      <c r="Q272" s="92"/>
      <c r="R272" s="92"/>
      <c r="S272" s="92"/>
      <c r="T272" s="92"/>
    </row>
    <row r="273" spans="1:28" ht="16.5" thickBot="1">
      <c r="A273" s="63">
        <v>186</v>
      </c>
      <c r="B273" s="8" t="s">
        <v>15</v>
      </c>
      <c r="C273" s="13">
        <f>D273+E273+F273+G273+H273+I273+J273</f>
        <v>34.9</v>
      </c>
      <c r="D273" s="13"/>
      <c r="E273" s="13">
        <f>AB273</f>
        <v>34.9</v>
      </c>
      <c r="F273" s="13"/>
      <c r="G273" s="13"/>
      <c r="H273" s="13"/>
      <c r="I273" s="13"/>
      <c r="J273" s="13"/>
      <c r="K273" s="10"/>
      <c r="L273" s="91"/>
      <c r="M273" s="92"/>
      <c r="N273" s="92"/>
      <c r="O273" s="92"/>
      <c r="P273" s="92"/>
      <c r="Q273" s="92"/>
      <c r="R273" s="92"/>
      <c r="S273" s="92"/>
      <c r="T273" s="92"/>
      <c r="AB273" s="41">
        <v>34.9</v>
      </c>
    </row>
    <row r="274" spans="1:28" ht="48" thickBot="1">
      <c r="A274" s="63">
        <v>187</v>
      </c>
      <c r="B274" s="8" t="s">
        <v>44</v>
      </c>
      <c r="C274" s="13">
        <f>D274+E274+F274+G274+H274+I274+J274</f>
        <v>34.9</v>
      </c>
      <c r="D274" s="13"/>
      <c r="E274" s="13">
        <f>AB274</f>
        <v>34.9</v>
      </c>
      <c r="F274" s="13"/>
      <c r="G274" s="13"/>
      <c r="H274" s="13"/>
      <c r="I274" s="13"/>
      <c r="J274" s="13"/>
      <c r="K274" s="10"/>
      <c r="L274" s="91"/>
      <c r="M274" s="92"/>
      <c r="N274" s="92"/>
      <c r="O274" s="92"/>
      <c r="P274" s="92"/>
      <c r="Q274" s="92"/>
      <c r="R274" s="92"/>
      <c r="S274" s="92"/>
      <c r="T274" s="92"/>
      <c r="AB274" s="41">
        <v>34.9</v>
      </c>
    </row>
    <row r="275" spans="1:25" ht="16.5" thickBot="1">
      <c r="A275" s="63">
        <v>188</v>
      </c>
      <c r="B275" s="8" t="s">
        <v>16</v>
      </c>
      <c r="C275" s="13">
        <f>D275+E275+F275+G275+H275+I275+J275</f>
        <v>336.20000000000005</v>
      </c>
      <c r="D275" s="13">
        <v>0</v>
      </c>
      <c r="E275" s="13">
        <f>E276</f>
        <v>54.699999999999996</v>
      </c>
      <c r="F275" s="13">
        <f>F276</f>
        <v>56.3</v>
      </c>
      <c r="G275" s="13">
        <f>G276</f>
        <v>56.3</v>
      </c>
      <c r="H275" s="13">
        <f>G275</f>
        <v>56.3</v>
      </c>
      <c r="I275" s="13">
        <f>H275</f>
        <v>56.3</v>
      </c>
      <c r="J275" s="13">
        <f>I275</f>
        <v>56.3</v>
      </c>
      <c r="K275" s="10"/>
      <c r="L275" s="91"/>
      <c r="M275" s="92"/>
      <c r="N275" s="92"/>
      <c r="O275" s="92"/>
      <c r="P275" s="92"/>
      <c r="Q275" s="92"/>
      <c r="R275" s="92"/>
      <c r="S275" s="92"/>
      <c r="T275" s="92"/>
      <c r="Y275" s="49">
        <v>-16.9</v>
      </c>
    </row>
    <row r="276" spans="1:25" ht="48" thickBot="1">
      <c r="A276" s="63">
        <v>189</v>
      </c>
      <c r="B276" s="8" t="s">
        <v>44</v>
      </c>
      <c r="C276" s="13">
        <f>D276+E276+F276+G276+H276+I276+J276</f>
        <v>336.20000000000005</v>
      </c>
      <c r="D276" s="13">
        <v>0</v>
      </c>
      <c r="E276" s="13">
        <f>71.6+Y276</f>
        <v>54.699999999999996</v>
      </c>
      <c r="F276" s="13">
        <v>56.3</v>
      </c>
      <c r="G276" s="13">
        <v>56.3</v>
      </c>
      <c r="H276" s="13">
        <v>56.3</v>
      </c>
      <c r="I276" s="13">
        <f>H276</f>
        <v>56.3</v>
      </c>
      <c r="J276" s="13">
        <f>I276</f>
        <v>56.3</v>
      </c>
      <c r="K276" s="10"/>
      <c r="L276" s="91"/>
      <c r="M276" s="92"/>
      <c r="N276" s="92"/>
      <c r="O276" s="92"/>
      <c r="P276" s="92"/>
      <c r="Q276" s="92"/>
      <c r="R276" s="92"/>
      <c r="S276" s="92"/>
      <c r="T276" s="92"/>
      <c r="Y276" s="49">
        <v>-16.9</v>
      </c>
    </row>
    <row r="277" spans="1:20" ht="15.75" customHeight="1">
      <c r="A277" s="94">
        <v>200</v>
      </c>
      <c r="B277" s="96" t="s">
        <v>35</v>
      </c>
      <c r="C277" s="97"/>
      <c r="D277" s="97"/>
      <c r="E277" s="97"/>
      <c r="F277" s="97"/>
      <c r="G277" s="97"/>
      <c r="H277" s="97"/>
      <c r="I277" s="97"/>
      <c r="J277" s="97"/>
      <c r="K277" s="98"/>
      <c r="L277" s="91"/>
      <c r="M277" s="92"/>
      <c r="N277" s="92"/>
      <c r="O277" s="92"/>
      <c r="P277" s="92"/>
      <c r="Q277" s="92"/>
      <c r="R277" s="92"/>
      <c r="S277" s="92"/>
      <c r="T277" s="92"/>
    </row>
    <row r="278" spans="1:20" ht="16.5" thickBot="1">
      <c r="A278" s="95"/>
      <c r="B278" s="99" t="s">
        <v>36</v>
      </c>
      <c r="C278" s="100"/>
      <c r="D278" s="100"/>
      <c r="E278" s="100"/>
      <c r="F278" s="100"/>
      <c r="G278" s="100"/>
      <c r="H278" s="100"/>
      <c r="I278" s="100"/>
      <c r="J278" s="100"/>
      <c r="K278" s="101"/>
      <c r="L278" s="91"/>
      <c r="M278" s="92"/>
      <c r="N278" s="92"/>
      <c r="O278" s="92"/>
      <c r="P278" s="92"/>
      <c r="Q278" s="92"/>
      <c r="R278" s="92"/>
      <c r="S278" s="92"/>
      <c r="T278" s="92"/>
    </row>
    <row r="279" spans="1:20" ht="48" thickBot="1">
      <c r="A279" s="63">
        <v>201</v>
      </c>
      <c r="B279" s="8" t="s">
        <v>20</v>
      </c>
      <c r="C279" s="18">
        <f>C280</f>
        <v>52254.9</v>
      </c>
      <c r="D279" s="18">
        <f aca="true" t="shared" si="89" ref="D279:J279">D280</f>
        <v>6855.499999999999</v>
      </c>
      <c r="E279" s="18">
        <f t="shared" si="89"/>
        <v>7386.9</v>
      </c>
      <c r="F279" s="18">
        <f t="shared" si="89"/>
        <v>7831.3</v>
      </c>
      <c r="G279" s="18">
        <f t="shared" si="89"/>
        <v>7545.3</v>
      </c>
      <c r="H279" s="18">
        <f t="shared" si="89"/>
        <v>7545.3</v>
      </c>
      <c r="I279" s="18">
        <f t="shared" si="89"/>
        <v>7545.3</v>
      </c>
      <c r="J279" s="18">
        <f t="shared" si="89"/>
        <v>7545.3</v>
      </c>
      <c r="K279" s="32"/>
      <c r="L279" s="91"/>
      <c r="M279" s="92"/>
      <c r="N279" s="92"/>
      <c r="O279" s="92"/>
      <c r="P279" s="92"/>
      <c r="Q279" s="92"/>
      <c r="R279" s="92"/>
      <c r="S279" s="92"/>
      <c r="T279" s="92"/>
    </row>
    <row r="280" spans="1:20" ht="16.5" thickBot="1">
      <c r="A280" s="63">
        <v>202</v>
      </c>
      <c r="B280" s="8" t="s">
        <v>23</v>
      </c>
      <c r="C280" s="18">
        <f>D280+E280+F280+G280+H280+I280+J280</f>
        <v>52254.9</v>
      </c>
      <c r="D280" s="19">
        <f aca="true" t="shared" si="90" ref="D280:J280">D284+D286+D288</f>
        <v>6855.499999999999</v>
      </c>
      <c r="E280" s="19">
        <f t="shared" si="90"/>
        <v>7386.9</v>
      </c>
      <c r="F280" s="19">
        <f t="shared" si="90"/>
        <v>7831.3</v>
      </c>
      <c r="G280" s="19">
        <f t="shared" si="90"/>
        <v>7545.3</v>
      </c>
      <c r="H280" s="19">
        <f t="shared" si="90"/>
        <v>7545.3</v>
      </c>
      <c r="I280" s="19">
        <f t="shared" si="90"/>
        <v>7545.3</v>
      </c>
      <c r="J280" s="19">
        <f t="shared" si="90"/>
        <v>7545.3</v>
      </c>
      <c r="K280" s="32"/>
      <c r="L280" s="91"/>
      <c r="M280" s="92"/>
      <c r="N280" s="92"/>
      <c r="O280" s="92"/>
      <c r="P280" s="92"/>
      <c r="Q280" s="92"/>
      <c r="R280" s="92"/>
      <c r="S280" s="92"/>
      <c r="T280" s="92"/>
    </row>
    <row r="281" spans="1:20" ht="16.5" customHeight="1" hidden="1" thickBot="1">
      <c r="A281" s="63"/>
      <c r="B281" s="8" t="s">
        <v>17</v>
      </c>
      <c r="C281" s="19"/>
      <c r="D281" s="19"/>
      <c r="E281" s="19"/>
      <c r="F281" s="19"/>
      <c r="G281" s="19"/>
      <c r="H281" s="19"/>
      <c r="I281" s="19"/>
      <c r="J281" s="19"/>
      <c r="K281" s="32"/>
      <c r="L281" s="91"/>
      <c r="M281" s="92"/>
      <c r="N281" s="92"/>
      <c r="O281" s="92"/>
      <c r="P281" s="92"/>
      <c r="Q281" s="92"/>
      <c r="R281" s="92"/>
      <c r="S281" s="92"/>
      <c r="T281" s="92"/>
    </row>
    <row r="282" spans="1:20" ht="16.5" customHeight="1" hidden="1" thickBot="1">
      <c r="A282" s="63"/>
      <c r="B282" s="8" t="s">
        <v>37</v>
      </c>
      <c r="C282" s="19"/>
      <c r="D282" s="19"/>
      <c r="E282" s="19"/>
      <c r="F282" s="19"/>
      <c r="G282" s="19"/>
      <c r="H282" s="19"/>
      <c r="I282" s="19"/>
      <c r="J282" s="19"/>
      <c r="K282" s="32"/>
      <c r="L282" s="91"/>
      <c r="M282" s="92"/>
      <c r="N282" s="92"/>
      <c r="O282" s="92"/>
      <c r="P282" s="92"/>
      <c r="Q282" s="92"/>
      <c r="R282" s="92"/>
      <c r="S282" s="92"/>
      <c r="T282" s="92"/>
    </row>
    <row r="283" spans="1:20" ht="95.25" thickBot="1">
      <c r="A283" s="63">
        <v>203</v>
      </c>
      <c r="B283" s="31" t="s">
        <v>71</v>
      </c>
      <c r="C283" s="18">
        <f>C284</f>
        <v>52009.50000000001</v>
      </c>
      <c r="D283" s="18">
        <f aca="true" t="shared" si="91" ref="D283:J283">D284</f>
        <v>6829.599999999999</v>
      </c>
      <c r="E283" s="18">
        <f t="shared" si="91"/>
        <v>7353.4</v>
      </c>
      <c r="F283" s="18">
        <f t="shared" si="91"/>
        <v>7793.3</v>
      </c>
      <c r="G283" s="18">
        <f t="shared" si="91"/>
        <v>7508.3</v>
      </c>
      <c r="H283" s="18">
        <f t="shared" si="91"/>
        <v>7508.3</v>
      </c>
      <c r="I283" s="18">
        <f t="shared" si="91"/>
        <v>7508.3</v>
      </c>
      <c r="J283" s="18">
        <f t="shared" si="91"/>
        <v>7508.3</v>
      </c>
      <c r="K283" s="35" t="s">
        <v>92</v>
      </c>
      <c r="L283" s="91"/>
      <c r="M283" s="92"/>
      <c r="N283" s="92"/>
      <c r="O283" s="92"/>
      <c r="P283" s="92"/>
      <c r="Q283" s="92"/>
      <c r="R283" s="92"/>
      <c r="S283" s="92"/>
      <c r="T283" s="92"/>
    </row>
    <row r="284" spans="1:31" ht="16.5" thickBot="1">
      <c r="A284" s="63">
        <v>204</v>
      </c>
      <c r="B284" s="8" t="s">
        <v>16</v>
      </c>
      <c r="C284" s="18">
        <f>D284+E284+F284+G284+H284+I284+J284</f>
        <v>52009.50000000001</v>
      </c>
      <c r="D284" s="19">
        <f>7622.9-100-693.3</f>
        <v>6829.599999999999</v>
      </c>
      <c r="E284" s="19">
        <f>7257.2+AD284+AE284</f>
        <v>7353.4</v>
      </c>
      <c r="F284" s="19">
        <v>7793.3</v>
      </c>
      <c r="G284" s="19">
        <v>7508.3</v>
      </c>
      <c r="H284" s="19">
        <f>G284</f>
        <v>7508.3</v>
      </c>
      <c r="I284" s="19">
        <f>H284</f>
        <v>7508.3</v>
      </c>
      <c r="J284" s="19">
        <f>I284</f>
        <v>7508.3</v>
      </c>
      <c r="K284" s="32"/>
      <c r="L284" s="91"/>
      <c r="M284" s="92"/>
      <c r="N284" s="92"/>
      <c r="O284" s="92"/>
      <c r="P284" s="92"/>
      <c r="Q284" s="92"/>
      <c r="R284" s="92"/>
      <c r="S284" s="92"/>
      <c r="T284" s="92"/>
      <c r="AD284">
        <v>174</v>
      </c>
      <c r="AE284">
        <v>-77.8</v>
      </c>
    </row>
    <row r="285" spans="1:27" ht="79.5" thickBot="1">
      <c r="A285" s="63">
        <v>205</v>
      </c>
      <c r="B285" s="31" t="s">
        <v>52</v>
      </c>
      <c r="C285" s="18">
        <f>C286</f>
        <v>245.4</v>
      </c>
      <c r="D285" s="18">
        <f aca="true" t="shared" si="92" ref="D285:J285">D286</f>
        <v>25.9</v>
      </c>
      <c r="E285" s="18">
        <f t="shared" si="92"/>
        <v>33.5</v>
      </c>
      <c r="F285" s="18">
        <f t="shared" si="92"/>
        <v>38</v>
      </c>
      <c r="G285" s="18">
        <f t="shared" si="92"/>
        <v>37</v>
      </c>
      <c r="H285" s="18">
        <f t="shared" si="92"/>
        <v>37</v>
      </c>
      <c r="I285" s="18">
        <f t="shared" si="92"/>
        <v>37</v>
      </c>
      <c r="J285" s="18">
        <f t="shared" si="92"/>
        <v>37</v>
      </c>
      <c r="K285" s="35">
        <v>62.64</v>
      </c>
      <c r="L285" s="30"/>
      <c r="M285" s="19"/>
      <c r="N285" s="19"/>
      <c r="O285" s="19"/>
      <c r="P285" s="19"/>
      <c r="Q285" s="19"/>
      <c r="R285" s="10"/>
      <c r="S285" s="91"/>
      <c r="T285" s="92"/>
      <c r="U285" s="92"/>
      <c r="V285" s="92"/>
      <c r="W285" s="92"/>
      <c r="X285" s="92"/>
      <c r="Y285" s="92"/>
      <c r="Z285" s="92"/>
      <c r="AA285" s="92"/>
    </row>
    <row r="286" spans="1:20" ht="16.5" thickBot="1">
      <c r="A286" s="63">
        <v>206</v>
      </c>
      <c r="B286" s="8" t="s">
        <v>37</v>
      </c>
      <c r="C286" s="18">
        <f>D286+E286+F286+G286+H286+I286+J286</f>
        <v>245.4</v>
      </c>
      <c r="D286" s="19">
        <f>32-6.1</f>
        <v>25.9</v>
      </c>
      <c r="E286" s="19">
        <v>33.5</v>
      </c>
      <c r="F286" s="19">
        <v>38</v>
      </c>
      <c r="G286" s="19">
        <v>37</v>
      </c>
      <c r="H286" s="19">
        <f>G286</f>
        <v>37</v>
      </c>
      <c r="I286" s="19">
        <f>H286</f>
        <v>37</v>
      </c>
      <c r="J286" s="19">
        <f>I286</f>
        <v>37</v>
      </c>
      <c r="K286" s="32"/>
      <c r="L286" s="91"/>
      <c r="M286" s="92"/>
      <c r="N286" s="92"/>
      <c r="O286" s="92"/>
      <c r="P286" s="92"/>
      <c r="Q286" s="92"/>
      <c r="R286" s="92"/>
      <c r="S286" s="92"/>
      <c r="T286" s="92"/>
    </row>
    <row r="287" spans="1:20" ht="63.75" customHeight="1" hidden="1" thickBot="1">
      <c r="A287" s="63"/>
      <c r="B287" s="8" t="s">
        <v>53</v>
      </c>
      <c r="C287" s="18">
        <f>C288</f>
        <v>0</v>
      </c>
      <c r="D287" s="18">
        <f aca="true" t="shared" si="93" ref="D287:J287">D288</f>
        <v>0</v>
      </c>
      <c r="E287" s="18">
        <f t="shared" si="93"/>
        <v>0</v>
      </c>
      <c r="F287" s="18">
        <f t="shared" si="93"/>
        <v>0</v>
      </c>
      <c r="G287" s="18">
        <f t="shared" si="93"/>
        <v>0</v>
      </c>
      <c r="H287" s="18">
        <f t="shared" si="93"/>
        <v>0</v>
      </c>
      <c r="I287" s="18">
        <f t="shared" si="93"/>
        <v>0</v>
      </c>
      <c r="J287" s="18">
        <f t="shared" si="93"/>
        <v>0</v>
      </c>
      <c r="K287" s="10"/>
      <c r="L287" s="91"/>
      <c r="M287" s="93"/>
      <c r="N287" s="93"/>
      <c r="O287" s="93"/>
      <c r="P287" s="93"/>
      <c r="Q287" s="93"/>
      <c r="R287" s="93"/>
      <c r="S287" s="93"/>
      <c r="T287" s="93"/>
    </row>
    <row r="288" spans="1:20" ht="16.5" customHeight="1" hidden="1" thickBot="1">
      <c r="A288" s="63"/>
      <c r="B288" s="8" t="s">
        <v>16</v>
      </c>
      <c r="C288" s="18">
        <f>D288+E288+F288+G288+H288+I288+J288</f>
        <v>0</v>
      </c>
      <c r="D288" s="19"/>
      <c r="E288" s="19"/>
      <c r="F288" s="19"/>
      <c r="G288" s="19"/>
      <c r="H288" s="19"/>
      <c r="I288" s="19"/>
      <c r="J288" s="19"/>
      <c r="K288" s="10"/>
      <c r="L288" s="91"/>
      <c r="M288" s="93"/>
      <c r="N288" s="93"/>
      <c r="O288" s="93"/>
      <c r="P288" s="93"/>
      <c r="Q288" s="93"/>
      <c r="R288" s="93"/>
      <c r="S288" s="93"/>
      <c r="T288" s="93"/>
    </row>
    <row r="289" ht="15.75">
      <c r="A289" s="4"/>
    </row>
  </sheetData>
  <sheetProtection/>
  <mergeCells count="427">
    <mergeCell ref="J1:K1"/>
    <mergeCell ref="A2:K2"/>
    <mergeCell ref="A3:K3"/>
    <mergeCell ref="B6:B10"/>
    <mergeCell ref="C6:J9"/>
    <mergeCell ref="L11:T11"/>
    <mergeCell ref="L12:T12"/>
    <mergeCell ref="L13:T13"/>
    <mergeCell ref="L14:T14"/>
    <mergeCell ref="L15:T15"/>
    <mergeCell ref="L16:T16"/>
    <mergeCell ref="L17:T17"/>
    <mergeCell ref="L18:T18"/>
    <mergeCell ref="L19:T19"/>
    <mergeCell ref="L20:T20"/>
    <mergeCell ref="L21:T21"/>
    <mergeCell ref="L22:T22"/>
    <mergeCell ref="B23:K23"/>
    <mergeCell ref="L23:T23"/>
    <mergeCell ref="L24:T24"/>
    <mergeCell ref="L25:T25"/>
    <mergeCell ref="L26:T26"/>
    <mergeCell ref="L27:T27"/>
    <mergeCell ref="L28:T28"/>
    <mergeCell ref="L29:T29"/>
    <mergeCell ref="L30:T30"/>
    <mergeCell ref="L31:T31"/>
    <mergeCell ref="L32:T32"/>
    <mergeCell ref="L33:T33"/>
    <mergeCell ref="L34:T34"/>
    <mergeCell ref="L35:T35"/>
    <mergeCell ref="L36:T36"/>
    <mergeCell ref="L37:T37"/>
    <mergeCell ref="L38:T38"/>
    <mergeCell ref="L39:T39"/>
    <mergeCell ref="L40:T40"/>
    <mergeCell ref="L42:T42"/>
    <mergeCell ref="L43:T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T45"/>
    <mergeCell ref="L46:T46"/>
    <mergeCell ref="L47:T47"/>
    <mergeCell ref="A48:A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T49"/>
    <mergeCell ref="L50:T50"/>
    <mergeCell ref="L51:T51"/>
    <mergeCell ref="L52:T52"/>
    <mergeCell ref="L53:T53"/>
    <mergeCell ref="A54:A55"/>
    <mergeCell ref="C54:C55"/>
    <mergeCell ref="D54:D55"/>
    <mergeCell ref="E54:E55"/>
    <mergeCell ref="F54:F55"/>
    <mergeCell ref="G54:G55"/>
    <mergeCell ref="H54:H55"/>
    <mergeCell ref="I54:I55"/>
    <mergeCell ref="J54:J55"/>
    <mergeCell ref="L54:T55"/>
    <mergeCell ref="L56:T56"/>
    <mergeCell ref="L57:T57"/>
    <mergeCell ref="L58:T58"/>
    <mergeCell ref="L59:T59"/>
    <mergeCell ref="L60:T60"/>
    <mergeCell ref="L61:T61"/>
    <mergeCell ref="L62:T62"/>
    <mergeCell ref="L63:T63"/>
    <mergeCell ref="L64:T64"/>
    <mergeCell ref="B73:K73"/>
    <mergeCell ref="L73:T73"/>
    <mergeCell ref="E65:E66"/>
    <mergeCell ref="F65:F66"/>
    <mergeCell ref="G65:G66"/>
    <mergeCell ref="L74:T74"/>
    <mergeCell ref="L75:T75"/>
    <mergeCell ref="L76:T76"/>
    <mergeCell ref="L77:T77"/>
    <mergeCell ref="L78:T78"/>
    <mergeCell ref="L79:T79"/>
    <mergeCell ref="L80:T80"/>
    <mergeCell ref="L81:T81"/>
    <mergeCell ref="L82:T82"/>
    <mergeCell ref="L83:T83"/>
    <mergeCell ref="L84:T84"/>
    <mergeCell ref="L85:T85"/>
    <mergeCell ref="L86:T86"/>
    <mergeCell ref="L87:T87"/>
    <mergeCell ref="L88:T88"/>
    <mergeCell ref="L89:T89"/>
    <mergeCell ref="L90:T90"/>
    <mergeCell ref="L91:T91"/>
    <mergeCell ref="L92:T92"/>
    <mergeCell ref="L93:T93"/>
    <mergeCell ref="L94:T94"/>
    <mergeCell ref="L95:T95"/>
    <mergeCell ref="L96:T96"/>
    <mergeCell ref="L97:T97"/>
    <mergeCell ref="L98:T98"/>
    <mergeCell ref="L99:T99"/>
    <mergeCell ref="L100:T100"/>
    <mergeCell ref="L101:T101"/>
    <mergeCell ref="L102:T102"/>
    <mergeCell ref="L103:T103"/>
    <mergeCell ref="L104:T104"/>
    <mergeCell ref="L105:T105"/>
    <mergeCell ref="L106:T106"/>
    <mergeCell ref="L107:T107"/>
    <mergeCell ref="L108:T108"/>
    <mergeCell ref="L109:T109"/>
    <mergeCell ref="L110:T110"/>
    <mergeCell ref="L111:T111"/>
    <mergeCell ref="L112:T112"/>
    <mergeCell ref="L113:T113"/>
    <mergeCell ref="L114:T114"/>
    <mergeCell ref="L115:T115"/>
    <mergeCell ref="L116:T116"/>
    <mergeCell ref="L117:T117"/>
    <mergeCell ref="A118:A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T119"/>
    <mergeCell ref="L120:T120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T123"/>
    <mergeCell ref="L124:T124"/>
    <mergeCell ref="L125:T125"/>
    <mergeCell ref="L126:T126"/>
    <mergeCell ref="L127:T127"/>
    <mergeCell ref="A128:A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T129"/>
    <mergeCell ref="L130:T130"/>
    <mergeCell ref="L131:T131"/>
    <mergeCell ref="L132:T132"/>
    <mergeCell ref="L133:T133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T135"/>
    <mergeCell ref="L136:T136"/>
    <mergeCell ref="L137:T137"/>
    <mergeCell ref="L138:T138"/>
    <mergeCell ref="L139:T139"/>
    <mergeCell ref="A140:A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L140:T141"/>
    <mergeCell ref="L142:T142"/>
    <mergeCell ref="L143:T143"/>
    <mergeCell ref="L144:T144"/>
    <mergeCell ref="L145:T145"/>
    <mergeCell ref="L146:T146"/>
    <mergeCell ref="L147:T147"/>
    <mergeCell ref="L148:T148"/>
    <mergeCell ref="L149:T149"/>
    <mergeCell ref="L150:T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T152"/>
    <mergeCell ref="L154:T154"/>
    <mergeCell ref="L155:T155"/>
    <mergeCell ref="L156:T156"/>
    <mergeCell ref="L157:T157"/>
    <mergeCell ref="L158:T158"/>
    <mergeCell ref="L159:T159"/>
    <mergeCell ref="A160:A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T161"/>
    <mergeCell ref="L162:T162"/>
    <mergeCell ref="L163:T163"/>
    <mergeCell ref="L164:T164"/>
    <mergeCell ref="L165:T165"/>
    <mergeCell ref="L166:T166"/>
    <mergeCell ref="L167:T167"/>
    <mergeCell ref="B168:K168"/>
    <mergeCell ref="L168:T168"/>
    <mergeCell ref="L169:T169"/>
    <mergeCell ref="L170:T170"/>
    <mergeCell ref="L171:T171"/>
    <mergeCell ref="L172:T172"/>
    <mergeCell ref="L173:T173"/>
    <mergeCell ref="L174:T174"/>
    <mergeCell ref="L175:T175"/>
    <mergeCell ref="L176:T176"/>
    <mergeCell ref="L177:T177"/>
    <mergeCell ref="L178:T178"/>
    <mergeCell ref="L179:T179"/>
    <mergeCell ref="L180:T180"/>
    <mergeCell ref="L181:T181"/>
    <mergeCell ref="A182:A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T183"/>
    <mergeCell ref="L184:T184"/>
    <mergeCell ref="L185:T185"/>
    <mergeCell ref="L186:T186"/>
    <mergeCell ref="L187:T187"/>
    <mergeCell ref="L188:T188"/>
    <mergeCell ref="A189:A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T190"/>
    <mergeCell ref="L191:T191"/>
    <mergeCell ref="A192:A193"/>
    <mergeCell ref="L192:T192"/>
    <mergeCell ref="L193:T193"/>
    <mergeCell ref="L194:T194"/>
    <mergeCell ref="L195:T195"/>
    <mergeCell ref="L196:T196"/>
    <mergeCell ref="L197:T197"/>
    <mergeCell ref="L198:T198"/>
    <mergeCell ref="L199:T199"/>
    <mergeCell ref="B208:K208"/>
    <mergeCell ref="L208:T208"/>
    <mergeCell ref="L209:T209"/>
    <mergeCell ref="L210:T210"/>
    <mergeCell ref="L211:T211"/>
    <mergeCell ref="L212:T212"/>
    <mergeCell ref="L213:T213"/>
    <mergeCell ref="L214:T214"/>
    <mergeCell ref="L215:T215"/>
    <mergeCell ref="L216:T216"/>
    <mergeCell ref="A217:A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T218"/>
    <mergeCell ref="L219:T219"/>
    <mergeCell ref="L220:T220"/>
    <mergeCell ref="L221:T221"/>
    <mergeCell ref="L222:T222"/>
    <mergeCell ref="L223:T223"/>
    <mergeCell ref="L224:T224"/>
    <mergeCell ref="L225:T225"/>
    <mergeCell ref="L226:T226"/>
    <mergeCell ref="L227:T227"/>
    <mergeCell ref="A228:A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K228:K229"/>
    <mergeCell ref="L228:T229"/>
    <mergeCell ref="L230:T230"/>
    <mergeCell ref="L231:T231"/>
    <mergeCell ref="K232:K233"/>
    <mergeCell ref="L232:T232"/>
    <mergeCell ref="L233:T233"/>
    <mergeCell ref="L234:T234"/>
    <mergeCell ref="L235:T235"/>
    <mergeCell ref="L236:T236"/>
    <mergeCell ref="L238:T238"/>
    <mergeCell ref="L239:T239"/>
    <mergeCell ref="L240:T240"/>
    <mergeCell ref="L241:T241"/>
    <mergeCell ref="L243:T243"/>
    <mergeCell ref="L244:T244"/>
    <mergeCell ref="L245:T245"/>
    <mergeCell ref="L246:T246"/>
    <mergeCell ref="L248:T248"/>
    <mergeCell ref="L249:T249"/>
    <mergeCell ref="L250:T250"/>
    <mergeCell ref="L251:T251"/>
    <mergeCell ref="L253:T253"/>
    <mergeCell ref="L254:T254"/>
    <mergeCell ref="L255:T255"/>
    <mergeCell ref="L256:T256"/>
    <mergeCell ref="B257:K257"/>
    <mergeCell ref="L257:T257"/>
    <mergeCell ref="L258:T258"/>
    <mergeCell ref="L259:T259"/>
    <mergeCell ref="L260:T260"/>
    <mergeCell ref="L261:T261"/>
    <mergeCell ref="L262:T262"/>
    <mergeCell ref="L263:T263"/>
    <mergeCell ref="L264:T264"/>
    <mergeCell ref="L265:T265"/>
    <mergeCell ref="L266:T266"/>
    <mergeCell ref="A277:A278"/>
    <mergeCell ref="B277:K277"/>
    <mergeCell ref="L277:T278"/>
    <mergeCell ref="B278:K278"/>
    <mergeCell ref="L267:T267"/>
    <mergeCell ref="L268:T268"/>
    <mergeCell ref="L269:T269"/>
    <mergeCell ref="L270:T270"/>
    <mergeCell ref="L271:T271"/>
    <mergeCell ref="L272:T272"/>
    <mergeCell ref="L286:T286"/>
    <mergeCell ref="L287:T287"/>
    <mergeCell ref="L288:T288"/>
    <mergeCell ref="L279:T279"/>
    <mergeCell ref="L280:T280"/>
    <mergeCell ref="L281:T281"/>
    <mergeCell ref="L282:T282"/>
    <mergeCell ref="L283:T283"/>
    <mergeCell ref="L284:T284"/>
    <mergeCell ref="J65:J66"/>
    <mergeCell ref="K65:K66"/>
    <mergeCell ref="D65:D66"/>
    <mergeCell ref="L68:T68"/>
    <mergeCell ref="L69:T69"/>
    <mergeCell ref="S285:AA285"/>
    <mergeCell ref="L273:T273"/>
    <mergeCell ref="L274:T274"/>
    <mergeCell ref="L275:T275"/>
    <mergeCell ref="L276:T276"/>
    <mergeCell ref="L202:T202"/>
    <mergeCell ref="L203:T203"/>
    <mergeCell ref="L204:T204"/>
    <mergeCell ref="L205:T205"/>
    <mergeCell ref="L206:T206"/>
    <mergeCell ref="L207:T207"/>
    <mergeCell ref="A65:A66"/>
    <mergeCell ref="C65:C66"/>
    <mergeCell ref="L65:T66"/>
    <mergeCell ref="L67:T67"/>
    <mergeCell ref="I200:I201"/>
    <mergeCell ref="J200:J201"/>
    <mergeCell ref="K200:K201"/>
    <mergeCell ref="L200:T201"/>
    <mergeCell ref="H65:H66"/>
    <mergeCell ref="I65:I66"/>
    <mergeCell ref="L70:T70"/>
    <mergeCell ref="L71:T71"/>
    <mergeCell ref="L72:T72"/>
    <mergeCell ref="A200:A201"/>
    <mergeCell ref="C200:C201"/>
    <mergeCell ref="D200:D201"/>
    <mergeCell ref="E200:E201"/>
    <mergeCell ref="F200:F201"/>
    <mergeCell ref="G200:G201"/>
    <mergeCell ref="H200:H2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8" manualBreakCount="18">
    <brk id="22" max="12" man="1"/>
    <brk id="40" max="12" man="1"/>
    <brk id="47" max="12" man="1"/>
    <brk id="72" max="12" man="1"/>
    <brk id="90" max="12" man="1"/>
    <brk id="99" max="12" man="1"/>
    <brk id="109" max="12" man="1"/>
    <brk id="114" max="12" man="1"/>
    <brk id="127" max="12" man="1"/>
    <brk id="139" max="12" man="1"/>
    <brk id="159" max="12" man="1"/>
    <brk id="167" max="12" man="1"/>
    <brk id="181" max="12" man="1"/>
    <brk id="194" max="12" man="1"/>
    <brk id="207" max="12" man="1"/>
    <brk id="231" max="12" man="1"/>
    <brk id="256" max="12" man="1"/>
    <brk id="27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9"/>
  <sheetViews>
    <sheetView tabSelected="1" view="pageBreakPreview" zoomScaleSheetLayoutView="100" zoomScalePageLayoutView="0" workbookViewId="0" topLeftCell="A1">
      <selection activeCell="AJ8" sqref="AJ8"/>
    </sheetView>
  </sheetViews>
  <sheetFormatPr defaultColWidth="9.140625" defaultRowHeight="15"/>
  <cols>
    <col min="1" max="1" width="6.57421875" style="0" customWidth="1"/>
    <col min="2" max="2" width="28.57421875" style="0" customWidth="1"/>
    <col min="3" max="3" width="10.421875" style="0" customWidth="1"/>
    <col min="4" max="4" width="10.140625" style="0" customWidth="1"/>
    <col min="6" max="7" width="9.28125" style="0" customWidth="1"/>
    <col min="11" max="11" width="31.57421875" style="0" customWidth="1"/>
    <col min="12" max="12" width="12.57421875" style="0" hidden="1" customWidth="1"/>
    <col min="13" max="21" width="9.140625" style="0" hidden="1" customWidth="1"/>
    <col min="22" max="22" width="8.00390625" style="0" hidden="1" customWidth="1"/>
    <col min="23" max="23" width="9.57421875" style="0" hidden="1" customWidth="1"/>
    <col min="24" max="24" width="8.140625" style="0" hidden="1" customWidth="1"/>
    <col min="25" max="25" width="9.140625" style="49" hidden="1" customWidth="1"/>
    <col min="26" max="26" width="7.28125" style="41" hidden="1" customWidth="1"/>
    <col min="27" max="27" width="7.8515625" style="41" hidden="1" customWidth="1"/>
    <col min="28" max="28" width="7.57421875" style="41" hidden="1" customWidth="1"/>
    <col min="29" max="32" width="10.140625" style="0" hidden="1" customWidth="1"/>
  </cols>
  <sheetData>
    <row r="1" spans="10:32" ht="15">
      <c r="J1" s="132" t="s">
        <v>81</v>
      </c>
      <c r="K1" s="133"/>
      <c r="V1" s="47">
        <v>42053</v>
      </c>
      <c r="W1" s="47">
        <v>42082</v>
      </c>
      <c r="X1" s="47">
        <v>42094</v>
      </c>
      <c r="Y1" s="48">
        <v>42158</v>
      </c>
      <c r="Z1" s="53">
        <v>42172</v>
      </c>
      <c r="AA1" s="53">
        <v>42214</v>
      </c>
      <c r="AB1" s="53">
        <v>42242</v>
      </c>
      <c r="AC1" s="53">
        <v>42305</v>
      </c>
      <c r="AD1" s="67">
        <v>42333</v>
      </c>
      <c r="AE1" s="67">
        <v>42361</v>
      </c>
      <c r="AF1" s="67">
        <v>42503</v>
      </c>
    </row>
    <row r="2" spans="1:29" ht="15.75">
      <c r="A2" s="134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AB2" s="41">
        <f>AB23+AB73+AB208+AB257</f>
        <v>-740.4</v>
      </c>
      <c r="AC2" s="41">
        <f>AC23+AC73+AC208+AC257</f>
        <v>0</v>
      </c>
    </row>
    <row r="3" spans="1:11" ht="15.75">
      <c r="A3" s="134" t="s">
        <v>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ht="15.75">
      <c r="A4" s="68"/>
    </row>
    <row r="5" ht="15.75" thickBot="1">
      <c r="A5" s="1"/>
    </row>
    <row r="6" spans="1:11" ht="75.75" customHeight="1">
      <c r="A6" s="69" t="s">
        <v>0</v>
      </c>
      <c r="B6" s="137" t="s">
        <v>2</v>
      </c>
      <c r="C6" s="140" t="s">
        <v>3</v>
      </c>
      <c r="D6" s="141"/>
      <c r="E6" s="141"/>
      <c r="F6" s="141"/>
      <c r="G6" s="141"/>
      <c r="H6" s="141"/>
      <c r="I6" s="141"/>
      <c r="J6" s="142"/>
      <c r="K6" s="71" t="s">
        <v>4</v>
      </c>
    </row>
    <row r="7" spans="1:11" ht="69.75" customHeight="1">
      <c r="A7" s="70" t="s">
        <v>1</v>
      </c>
      <c r="B7" s="138"/>
      <c r="C7" s="143"/>
      <c r="D7" s="144"/>
      <c r="E7" s="144"/>
      <c r="F7" s="144"/>
      <c r="G7" s="144"/>
      <c r="H7" s="144"/>
      <c r="I7" s="144"/>
      <c r="J7" s="145"/>
      <c r="K7" s="72" t="s">
        <v>5</v>
      </c>
    </row>
    <row r="8" spans="1:11" ht="21.75" customHeight="1">
      <c r="A8" s="2"/>
      <c r="B8" s="138"/>
      <c r="C8" s="143"/>
      <c r="D8" s="144"/>
      <c r="E8" s="144"/>
      <c r="F8" s="144"/>
      <c r="G8" s="144"/>
      <c r="H8" s="144"/>
      <c r="I8" s="144"/>
      <c r="J8" s="145"/>
      <c r="K8" s="72" t="s">
        <v>6</v>
      </c>
    </row>
    <row r="9" spans="1:11" ht="16.5" thickBot="1">
      <c r="A9" s="2"/>
      <c r="B9" s="138"/>
      <c r="C9" s="146"/>
      <c r="D9" s="147"/>
      <c r="E9" s="147"/>
      <c r="F9" s="147"/>
      <c r="G9" s="147"/>
      <c r="H9" s="147"/>
      <c r="I9" s="147"/>
      <c r="J9" s="148"/>
      <c r="K9" s="73"/>
    </row>
    <row r="10" spans="1:11" ht="16.5" thickBot="1">
      <c r="A10" s="3"/>
      <c r="B10" s="139"/>
      <c r="C10" s="73" t="s">
        <v>7</v>
      </c>
      <c r="D10" s="73" t="s">
        <v>8</v>
      </c>
      <c r="E10" s="73" t="s">
        <v>9</v>
      </c>
      <c r="F10" s="73" t="s">
        <v>10</v>
      </c>
      <c r="G10" s="73" t="s">
        <v>11</v>
      </c>
      <c r="H10" s="73" t="s">
        <v>12</v>
      </c>
      <c r="I10" s="73" t="s">
        <v>13</v>
      </c>
      <c r="J10" s="73" t="s">
        <v>14</v>
      </c>
      <c r="K10" s="73"/>
    </row>
    <row r="11" spans="1:20" ht="16.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91"/>
      <c r="M11" s="92"/>
      <c r="N11" s="92"/>
      <c r="O11" s="92"/>
      <c r="P11" s="92"/>
      <c r="Q11" s="92"/>
      <c r="R11" s="92"/>
      <c r="S11" s="92"/>
      <c r="T11" s="92"/>
    </row>
    <row r="12" spans="1:23" ht="63.75" thickBot="1">
      <c r="A12" s="7">
        <v>2</v>
      </c>
      <c r="B12" s="8" t="s">
        <v>95</v>
      </c>
      <c r="C12" s="14">
        <f aca="true" t="shared" si="0" ref="C12:J12">C24+C74+C169+C209+C258+C279</f>
        <v>1974652.4000000001</v>
      </c>
      <c r="D12" s="45">
        <f t="shared" si="0"/>
        <v>252246.40000000002</v>
      </c>
      <c r="E12" s="14">
        <f t="shared" si="0"/>
        <v>264862.8</v>
      </c>
      <c r="F12" s="14">
        <f>F24+F74+F169+F209+F258+F279</f>
        <v>296338.69999999995</v>
      </c>
      <c r="G12" s="14">
        <f t="shared" si="0"/>
        <v>290344.89999999997</v>
      </c>
      <c r="H12" s="14">
        <f t="shared" si="0"/>
        <v>290344.89999999997</v>
      </c>
      <c r="I12" s="14">
        <f t="shared" si="0"/>
        <v>290344.89999999997</v>
      </c>
      <c r="J12" s="14">
        <f t="shared" si="0"/>
        <v>290344.89999999997</v>
      </c>
      <c r="K12" s="9"/>
      <c r="L12" s="130">
        <f>L24+L74+L209</f>
        <v>806100</v>
      </c>
      <c r="M12" s="131"/>
      <c r="N12" s="131"/>
      <c r="O12" s="131"/>
      <c r="P12" s="131"/>
      <c r="Q12" s="131"/>
      <c r="R12" s="131"/>
      <c r="S12" s="131"/>
      <c r="T12" s="131"/>
      <c r="W12" s="52"/>
    </row>
    <row r="13" spans="1:20" ht="16.5" thickBot="1">
      <c r="A13" s="7">
        <v>3</v>
      </c>
      <c r="B13" s="8" t="s">
        <v>98</v>
      </c>
      <c r="C13" s="15">
        <f>C77</f>
        <v>1243.4</v>
      </c>
      <c r="D13" s="46">
        <v>0</v>
      </c>
      <c r="E13" s="15">
        <f aca="true" t="shared" si="1" ref="E13:J14">E77</f>
        <v>1243.4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9"/>
      <c r="L13" s="91"/>
      <c r="M13" s="92"/>
      <c r="N13" s="92"/>
      <c r="O13" s="92"/>
      <c r="P13" s="92"/>
      <c r="Q13" s="92"/>
      <c r="R13" s="92"/>
      <c r="S13" s="92"/>
      <c r="T13" s="92"/>
    </row>
    <row r="14" spans="1:20" ht="48" thickBot="1">
      <c r="A14" s="7">
        <v>4</v>
      </c>
      <c r="B14" s="8" t="s">
        <v>54</v>
      </c>
      <c r="C14" s="15">
        <f>C78</f>
        <v>698</v>
      </c>
      <c r="D14" s="46">
        <v>0</v>
      </c>
      <c r="E14" s="15">
        <f>E78</f>
        <v>698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9"/>
      <c r="L14" s="91"/>
      <c r="M14" s="92"/>
      <c r="N14" s="92"/>
      <c r="O14" s="92"/>
      <c r="P14" s="92"/>
      <c r="Q14" s="92"/>
      <c r="R14" s="92"/>
      <c r="S14" s="92"/>
      <c r="T14" s="92"/>
    </row>
    <row r="15" spans="1:20" ht="16.5" thickBot="1">
      <c r="A15" s="7">
        <v>5</v>
      </c>
      <c r="B15" s="8" t="s">
        <v>15</v>
      </c>
      <c r="C15" s="15">
        <f aca="true" t="shared" si="2" ref="C15:J15">C25+C79+C170+C210+C259</f>
        <v>1026157.7000000001</v>
      </c>
      <c r="D15" s="46">
        <f t="shared" si="2"/>
        <v>128814.6</v>
      </c>
      <c r="E15" s="15">
        <f t="shared" si="2"/>
        <v>136311.19999999998</v>
      </c>
      <c r="F15" s="15">
        <f t="shared" si="2"/>
        <v>162581.5</v>
      </c>
      <c r="G15" s="15">
        <f t="shared" si="2"/>
        <v>149626.7</v>
      </c>
      <c r="H15" s="15">
        <f t="shared" si="2"/>
        <v>149626.7</v>
      </c>
      <c r="I15" s="15">
        <f t="shared" si="2"/>
        <v>149626.7</v>
      </c>
      <c r="J15" s="15">
        <f t="shared" si="2"/>
        <v>149626.7</v>
      </c>
      <c r="K15" s="9"/>
      <c r="L15" s="91"/>
      <c r="M15" s="92"/>
      <c r="N15" s="92"/>
      <c r="O15" s="92"/>
      <c r="P15" s="92"/>
      <c r="Q15" s="92"/>
      <c r="R15" s="92"/>
      <c r="S15" s="92"/>
      <c r="T15" s="92"/>
    </row>
    <row r="16" spans="1:20" ht="48" thickBot="1">
      <c r="A16" s="7">
        <v>6</v>
      </c>
      <c r="B16" s="8" t="s">
        <v>54</v>
      </c>
      <c r="C16" s="15">
        <f aca="true" t="shared" si="3" ref="C16:J16">C26+C80+C171+C211+C261</f>
        <v>560625.7</v>
      </c>
      <c r="D16" s="46">
        <f t="shared" si="3"/>
        <v>67727.5</v>
      </c>
      <c r="E16" s="15">
        <f t="shared" si="3"/>
        <v>73469.59999999999</v>
      </c>
      <c r="F16" s="15">
        <f t="shared" si="3"/>
        <v>89294.99999999999</v>
      </c>
      <c r="G16" s="15">
        <f t="shared" si="3"/>
        <v>82533.4</v>
      </c>
      <c r="H16" s="15">
        <f t="shared" si="3"/>
        <v>82533.4</v>
      </c>
      <c r="I16" s="15">
        <f t="shared" si="3"/>
        <v>82533.4</v>
      </c>
      <c r="J16" s="15">
        <f t="shared" si="3"/>
        <v>82533.4</v>
      </c>
      <c r="K16" s="9"/>
      <c r="L16" s="91"/>
      <c r="M16" s="92"/>
      <c r="N16" s="92"/>
      <c r="O16" s="92"/>
      <c r="P16" s="92"/>
      <c r="Q16" s="92"/>
      <c r="R16" s="92"/>
      <c r="S16" s="92"/>
      <c r="T16" s="92"/>
    </row>
    <row r="17" spans="1:20" ht="16.5" thickBot="1">
      <c r="A17" s="7">
        <v>7</v>
      </c>
      <c r="B17" s="8" t="s">
        <v>16</v>
      </c>
      <c r="C17" s="14">
        <f aca="true" t="shared" si="4" ref="C17:J18">C27+C81+C172+C212+C261+C280</f>
        <v>947251.2</v>
      </c>
      <c r="D17" s="45">
        <f t="shared" si="4"/>
        <v>123431.7</v>
      </c>
      <c r="E17" s="14">
        <f t="shared" si="4"/>
        <v>127308.19999999998</v>
      </c>
      <c r="F17" s="14">
        <f t="shared" si="4"/>
        <v>133638.5</v>
      </c>
      <c r="G17" s="14">
        <f t="shared" si="4"/>
        <v>140718.19999999998</v>
      </c>
      <c r="H17" s="14">
        <f t="shared" si="4"/>
        <v>140718.19999999998</v>
      </c>
      <c r="I17" s="14">
        <f t="shared" si="4"/>
        <v>140718.19999999998</v>
      </c>
      <c r="J17" s="14">
        <f t="shared" si="4"/>
        <v>140718.19999999998</v>
      </c>
      <c r="K17" s="9"/>
      <c r="L17" s="91"/>
      <c r="M17" s="92"/>
      <c r="N17" s="92"/>
      <c r="O17" s="92"/>
      <c r="P17" s="92"/>
      <c r="Q17" s="92"/>
      <c r="R17" s="92"/>
      <c r="S17" s="92"/>
      <c r="T17" s="92"/>
    </row>
    <row r="18" spans="1:20" ht="48" thickBot="1">
      <c r="A18" s="7">
        <v>8</v>
      </c>
      <c r="B18" s="8" t="s">
        <v>54</v>
      </c>
      <c r="C18" s="14">
        <f t="shared" si="4"/>
        <v>382305.2</v>
      </c>
      <c r="D18" s="45">
        <f t="shared" si="4"/>
        <v>43234.200000000004</v>
      </c>
      <c r="E18" s="14">
        <f t="shared" si="4"/>
        <v>47914.5</v>
      </c>
      <c r="F18" s="14">
        <f t="shared" si="4"/>
        <v>59266.100000000006</v>
      </c>
      <c r="G18" s="14">
        <f t="shared" si="4"/>
        <v>57972.6</v>
      </c>
      <c r="H18" s="14">
        <f t="shared" si="4"/>
        <v>57972.6</v>
      </c>
      <c r="I18" s="14">
        <f t="shared" si="4"/>
        <v>57972.6</v>
      </c>
      <c r="J18" s="14">
        <f t="shared" si="4"/>
        <v>57972.6</v>
      </c>
      <c r="K18" s="9"/>
      <c r="L18" s="91"/>
      <c r="M18" s="92"/>
      <c r="N18" s="92"/>
      <c r="O18" s="92"/>
      <c r="P18" s="92"/>
      <c r="Q18" s="92"/>
      <c r="R18" s="92"/>
      <c r="S18" s="92"/>
      <c r="T18" s="92"/>
    </row>
    <row r="19" spans="1:20" ht="16.5" customHeight="1" hidden="1" thickBot="1">
      <c r="A19" s="7"/>
      <c r="B19" s="8" t="s">
        <v>17</v>
      </c>
      <c r="C19" s="14"/>
      <c r="D19" s="14"/>
      <c r="E19" s="15"/>
      <c r="F19" s="14"/>
      <c r="G19" s="14"/>
      <c r="H19" s="14"/>
      <c r="I19" s="14"/>
      <c r="J19" s="14"/>
      <c r="K19" s="9"/>
      <c r="L19" s="91"/>
      <c r="M19" s="92"/>
      <c r="N19" s="92"/>
      <c r="O19" s="92"/>
      <c r="P19" s="92"/>
      <c r="Q19" s="92"/>
      <c r="R19" s="92"/>
      <c r="S19" s="92"/>
      <c r="T19" s="92"/>
    </row>
    <row r="20" spans="1:20" ht="16.5" customHeight="1" hidden="1" thickBot="1">
      <c r="A20" s="7"/>
      <c r="B20" s="8" t="s">
        <v>15</v>
      </c>
      <c r="C20" s="14"/>
      <c r="D20" s="14"/>
      <c r="E20" s="14"/>
      <c r="F20" s="14"/>
      <c r="G20" s="14"/>
      <c r="H20" s="14"/>
      <c r="I20" s="14"/>
      <c r="J20" s="14"/>
      <c r="K20" s="9"/>
      <c r="L20" s="91"/>
      <c r="M20" s="92"/>
      <c r="N20" s="92"/>
      <c r="O20" s="92"/>
      <c r="P20" s="92"/>
      <c r="Q20" s="92"/>
      <c r="R20" s="92"/>
      <c r="S20" s="92"/>
      <c r="T20" s="92"/>
    </row>
    <row r="21" spans="1:20" ht="16.5" customHeight="1" hidden="1" thickBot="1">
      <c r="A21" s="7"/>
      <c r="B21" s="8" t="s">
        <v>16</v>
      </c>
      <c r="C21" s="14"/>
      <c r="D21" s="14"/>
      <c r="E21" s="14"/>
      <c r="F21" s="14"/>
      <c r="G21" s="14"/>
      <c r="H21" s="14"/>
      <c r="I21" s="14"/>
      <c r="J21" s="14"/>
      <c r="K21" s="9"/>
      <c r="L21" s="91"/>
      <c r="M21" s="92"/>
      <c r="N21" s="92"/>
      <c r="O21" s="92"/>
      <c r="P21" s="92"/>
      <c r="Q21" s="92"/>
      <c r="R21" s="92"/>
      <c r="S21" s="92"/>
      <c r="T21" s="92"/>
    </row>
    <row r="22" spans="1:20" ht="32.25" customHeight="1" hidden="1" thickBot="1">
      <c r="A22" s="7"/>
      <c r="B22" s="8" t="s">
        <v>18</v>
      </c>
      <c r="C22" s="14"/>
      <c r="D22" s="14"/>
      <c r="E22" s="15"/>
      <c r="F22" s="14"/>
      <c r="G22" s="14"/>
      <c r="H22" s="14"/>
      <c r="I22" s="14"/>
      <c r="J22" s="14"/>
      <c r="K22" s="9"/>
      <c r="L22" s="91"/>
      <c r="M22" s="92"/>
      <c r="N22" s="92"/>
      <c r="O22" s="92"/>
      <c r="P22" s="92"/>
      <c r="Q22" s="92"/>
      <c r="R22" s="92"/>
      <c r="S22" s="92"/>
      <c r="T22" s="92"/>
    </row>
    <row r="23" spans="1:28" ht="31.5" customHeight="1" thickBot="1">
      <c r="A23" s="7">
        <v>9</v>
      </c>
      <c r="B23" s="120" t="s">
        <v>19</v>
      </c>
      <c r="C23" s="121"/>
      <c r="D23" s="121"/>
      <c r="E23" s="121"/>
      <c r="F23" s="121"/>
      <c r="G23" s="121"/>
      <c r="H23" s="121"/>
      <c r="I23" s="121"/>
      <c r="J23" s="121"/>
      <c r="K23" s="122"/>
      <c r="L23" s="91"/>
      <c r="M23" s="92"/>
      <c r="N23" s="92"/>
      <c r="O23" s="92"/>
      <c r="P23" s="92"/>
      <c r="Q23" s="92"/>
      <c r="R23" s="92"/>
      <c r="S23" s="92"/>
      <c r="T23" s="92"/>
      <c r="AB23" s="41">
        <f>AB34+AB42</f>
        <v>1420.1</v>
      </c>
    </row>
    <row r="24" spans="1:21" ht="60.75" customHeight="1" thickBot="1">
      <c r="A24" s="77">
        <v>10</v>
      </c>
      <c r="B24" s="17" t="s">
        <v>20</v>
      </c>
      <c r="C24" s="16">
        <f>D24+E24+F24+G24+H24+I24+J24</f>
        <v>495166.1</v>
      </c>
      <c r="D24" s="16">
        <f>D25+D27</f>
        <v>56756.5</v>
      </c>
      <c r="E24" s="16">
        <f aca="true" t="shared" si="5" ref="E24:J24">E25+E27</f>
        <v>63142.899999999994</v>
      </c>
      <c r="F24" s="16">
        <f t="shared" si="5"/>
        <v>77779.5</v>
      </c>
      <c r="G24" s="16">
        <f t="shared" si="5"/>
        <v>74371.8</v>
      </c>
      <c r="H24" s="16">
        <f t="shared" si="5"/>
        <v>74371.8</v>
      </c>
      <c r="I24" s="16">
        <f t="shared" si="5"/>
        <v>74371.8</v>
      </c>
      <c r="J24" s="16">
        <f t="shared" si="5"/>
        <v>74371.8</v>
      </c>
      <c r="K24" s="32"/>
      <c r="L24" s="91">
        <f>L33+L38+L41+L48</f>
        <v>-94805.3600000001</v>
      </c>
      <c r="M24" s="92"/>
      <c r="N24" s="92"/>
      <c r="O24" s="92"/>
      <c r="P24" s="92"/>
      <c r="Q24" s="92"/>
      <c r="R24" s="92"/>
      <c r="S24" s="92"/>
      <c r="T24" s="92"/>
      <c r="U24">
        <v>-94.8</v>
      </c>
    </row>
    <row r="25" spans="1:20" ht="16.5" thickBot="1">
      <c r="A25" s="77">
        <v>11</v>
      </c>
      <c r="B25" s="8" t="s">
        <v>15</v>
      </c>
      <c r="C25" s="16">
        <f>D25+E25+F25+G25+H25+I25+J25</f>
        <v>238979</v>
      </c>
      <c r="D25" s="13">
        <f aca="true" t="shared" si="6" ref="D25:J26">D34+D50+D56+D61+D39</f>
        <v>27439</v>
      </c>
      <c r="E25" s="13">
        <f t="shared" si="6"/>
        <v>31079</v>
      </c>
      <c r="F25" s="13">
        <f t="shared" si="6"/>
        <v>40849</v>
      </c>
      <c r="G25" s="13">
        <f t="shared" si="6"/>
        <v>34903</v>
      </c>
      <c r="H25" s="13">
        <f t="shared" si="6"/>
        <v>34903</v>
      </c>
      <c r="I25" s="13">
        <f t="shared" si="6"/>
        <v>34903</v>
      </c>
      <c r="J25" s="13">
        <f t="shared" si="6"/>
        <v>34903</v>
      </c>
      <c r="K25" s="32"/>
      <c r="L25" s="91"/>
      <c r="M25" s="92"/>
      <c r="N25" s="92"/>
      <c r="O25" s="92"/>
      <c r="P25" s="92"/>
      <c r="Q25" s="92"/>
      <c r="R25" s="92"/>
      <c r="S25" s="92"/>
      <c r="T25" s="92"/>
    </row>
    <row r="26" spans="1:20" ht="48" thickBot="1">
      <c r="A26" s="77">
        <v>12</v>
      </c>
      <c r="B26" s="8" t="s">
        <v>38</v>
      </c>
      <c r="C26" s="16">
        <f>D26+E26+F26+G26+H26+I26+J26</f>
        <v>227388.29999999996</v>
      </c>
      <c r="D26" s="13">
        <f t="shared" si="6"/>
        <v>26199.8</v>
      </c>
      <c r="E26" s="13">
        <f t="shared" si="6"/>
        <v>29535.6</v>
      </c>
      <c r="F26" s="13">
        <f t="shared" si="6"/>
        <v>38643.7</v>
      </c>
      <c r="G26" s="13">
        <f t="shared" si="6"/>
        <v>33252.299999999996</v>
      </c>
      <c r="H26" s="13">
        <f t="shared" si="6"/>
        <v>33252.299999999996</v>
      </c>
      <c r="I26" s="13">
        <f t="shared" si="6"/>
        <v>33252.299999999996</v>
      </c>
      <c r="J26" s="13">
        <f t="shared" si="6"/>
        <v>33252.299999999996</v>
      </c>
      <c r="K26" s="32"/>
      <c r="L26" s="91"/>
      <c r="M26" s="92"/>
      <c r="N26" s="92"/>
      <c r="O26" s="92"/>
      <c r="P26" s="92"/>
      <c r="Q26" s="92"/>
      <c r="R26" s="92"/>
      <c r="S26" s="92"/>
      <c r="T26" s="92"/>
    </row>
    <row r="27" spans="1:20" ht="16.5" thickBot="1">
      <c r="A27" s="77">
        <v>13</v>
      </c>
      <c r="B27" s="8" t="s">
        <v>16</v>
      </c>
      <c r="C27" s="16">
        <f>D27+E27+F27+G27+H27+I27+J27</f>
        <v>256187.09999999998</v>
      </c>
      <c r="D27" s="24">
        <f>D36+D42+D46+D52+D58+D63</f>
        <v>29317.5</v>
      </c>
      <c r="E27" s="13">
        <f>E36+E42+E46+E52+E58+E63</f>
        <v>32063.899999999994</v>
      </c>
      <c r="F27" s="13">
        <f>F36+F42+F46+F52+F58+F63+F71</f>
        <v>36930.50000000001</v>
      </c>
      <c r="G27" s="13">
        <f aca="true" t="shared" si="7" ref="G27:J28">G36+G42+G46+G52+G58+G63</f>
        <v>39468.8</v>
      </c>
      <c r="H27" s="13">
        <f t="shared" si="7"/>
        <v>39468.8</v>
      </c>
      <c r="I27" s="13">
        <f t="shared" si="7"/>
        <v>39468.8</v>
      </c>
      <c r="J27" s="13">
        <f t="shared" si="7"/>
        <v>39468.8</v>
      </c>
      <c r="K27" s="32"/>
      <c r="L27" s="91"/>
      <c r="M27" s="92"/>
      <c r="N27" s="92"/>
      <c r="O27" s="92"/>
      <c r="P27" s="92"/>
      <c r="Q27" s="92"/>
      <c r="R27" s="92"/>
      <c r="S27" s="92"/>
      <c r="T27" s="92"/>
    </row>
    <row r="28" spans="1:20" ht="48" thickBot="1">
      <c r="A28" s="77">
        <v>14</v>
      </c>
      <c r="B28" s="8" t="s">
        <v>38</v>
      </c>
      <c r="C28" s="16">
        <f>D28+E28+F28+G28+H28+I28+J28</f>
        <v>238422.6</v>
      </c>
      <c r="D28" s="24">
        <f>D37+D43+D47+D53+D59+D64-0.1</f>
        <v>27010.4</v>
      </c>
      <c r="E28" s="13">
        <f>E37+E43+E47+E53+E59+E64</f>
        <v>28384.9</v>
      </c>
      <c r="F28" s="13">
        <f>F37+F43+F47+F53+F59+F64</f>
        <v>34807.3</v>
      </c>
      <c r="G28" s="13">
        <f t="shared" si="7"/>
        <v>37055</v>
      </c>
      <c r="H28" s="13">
        <f t="shared" si="7"/>
        <v>37055</v>
      </c>
      <c r="I28" s="13">
        <f t="shared" si="7"/>
        <v>37055</v>
      </c>
      <c r="J28" s="13">
        <f t="shared" si="7"/>
        <v>37055</v>
      </c>
      <c r="K28" s="32"/>
      <c r="L28" s="91"/>
      <c r="M28" s="92"/>
      <c r="N28" s="92"/>
      <c r="O28" s="92"/>
      <c r="P28" s="92"/>
      <c r="Q28" s="92"/>
      <c r="R28" s="92"/>
      <c r="S28" s="92"/>
      <c r="T28" s="92"/>
    </row>
    <row r="29" spans="1:20" ht="16.5" customHeight="1" hidden="1" thickBot="1">
      <c r="A29" s="77"/>
      <c r="B29" s="8" t="s">
        <v>17</v>
      </c>
      <c r="C29" s="13"/>
      <c r="D29" s="13"/>
      <c r="E29" s="13"/>
      <c r="F29" s="13"/>
      <c r="G29" s="13"/>
      <c r="H29" s="13"/>
      <c r="I29" s="13"/>
      <c r="J29" s="13"/>
      <c r="K29" s="32"/>
      <c r="L29" s="91"/>
      <c r="M29" s="92"/>
      <c r="N29" s="92"/>
      <c r="O29" s="92"/>
      <c r="P29" s="92"/>
      <c r="Q29" s="92"/>
      <c r="R29" s="92"/>
      <c r="S29" s="92"/>
      <c r="T29" s="92"/>
    </row>
    <row r="30" spans="1:20" ht="16.5" customHeight="1" hidden="1" thickBot="1">
      <c r="A30" s="77"/>
      <c r="B30" s="8" t="s">
        <v>15</v>
      </c>
      <c r="C30" s="13"/>
      <c r="D30" s="13"/>
      <c r="E30" s="13"/>
      <c r="F30" s="13"/>
      <c r="G30" s="13"/>
      <c r="H30" s="13"/>
      <c r="I30" s="13"/>
      <c r="J30" s="13"/>
      <c r="K30" s="32"/>
      <c r="L30" s="91"/>
      <c r="M30" s="92"/>
      <c r="N30" s="92"/>
      <c r="O30" s="92"/>
      <c r="P30" s="92"/>
      <c r="Q30" s="92"/>
      <c r="R30" s="92"/>
      <c r="S30" s="92"/>
      <c r="T30" s="92"/>
    </row>
    <row r="31" spans="1:20" ht="16.5" customHeight="1" hidden="1" thickBot="1">
      <c r="A31" s="77"/>
      <c r="B31" s="8" t="s">
        <v>16</v>
      </c>
      <c r="C31" s="13"/>
      <c r="D31" s="13"/>
      <c r="E31" s="13"/>
      <c r="F31" s="13"/>
      <c r="G31" s="13"/>
      <c r="H31" s="13"/>
      <c r="I31" s="13"/>
      <c r="J31" s="13"/>
      <c r="K31" s="32"/>
      <c r="L31" s="91"/>
      <c r="M31" s="92"/>
      <c r="N31" s="92"/>
      <c r="O31" s="92"/>
      <c r="P31" s="92"/>
      <c r="Q31" s="92"/>
      <c r="R31" s="92"/>
      <c r="S31" s="92"/>
      <c r="T31" s="92"/>
    </row>
    <row r="32" spans="1:20" ht="36.75" customHeight="1" hidden="1" thickBot="1">
      <c r="A32" s="77"/>
      <c r="B32" s="8" t="s">
        <v>18</v>
      </c>
      <c r="C32" s="13"/>
      <c r="D32" s="13"/>
      <c r="E32" s="13"/>
      <c r="F32" s="13"/>
      <c r="G32" s="13"/>
      <c r="H32" s="13"/>
      <c r="I32" s="13"/>
      <c r="J32" s="13"/>
      <c r="K32" s="32"/>
      <c r="L32" s="91"/>
      <c r="M32" s="92"/>
      <c r="N32" s="92"/>
      <c r="O32" s="92"/>
      <c r="P32" s="92"/>
      <c r="Q32" s="92"/>
      <c r="R32" s="92"/>
      <c r="S32" s="92"/>
      <c r="T32" s="92"/>
    </row>
    <row r="33" spans="1:20" ht="222" customHeight="1" thickBot="1">
      <c r="A33" s="77">
        <v>15</v>
      </c>
      <c r="B33" s="8" t="s">
        <v>45</v>
      </c>
      <c r="C33" s="16">
        <f>C34+C36</f>
        <v>234165.80000000005</v>
      </c>
      <c r="D33" s="16">
        <f aca="true" t="shared" si="8" ref="D33:J33">D34+D36</f>
        <v>26875</v>
      </c>
      <c r="E33" s="16">
        <f t="shared" si="8"/>
        <v>30332</v>
      </c>
      <c r="F33" s="16">
        <f t="shared" si="8"/>
        <v>40162</v>
      </c>
      <c r="G33" s="16">
        <f t="shared" si="8"/>
        <v>34199.2</v>
      </c>
      <c r="H33" s="16">
        <f t="shared" si="8"/>
        <v>34199.2</v>
      </c>
      <c r="I33" s="16">
        <f t="shared" si="8"/>
        <v>34199.2</v>
      </c>
      <c r="J33" s="16">
        <f t="shared" si="8"/>
        <v>34199.2</v>
      </c>
      <c r="K33" s="32" t="s">
        <v>83</v>
      </c>
      <c r="L33" s="91"/>
      <c r="M33" s="92"/>
      <c r="N33" s="92"/>
      <c r="O33" s="92"/>
      <c r="P33" s="92"/>
      <c r="Q33" s="92"/>
      <c r="R33" s="92"/>
      <c r="S33" s="92"/>
      <c r="T33" s="92"/>
    </row>
    <row r="34" spans="1:32" ht="16.5" thickBot="1">
      <c r="A34" s="77">
        <v>16</v>
      </c>
      <c r="B34" s="8" t="s">
        <v>15</v>
      </c>
      <c r="C34" s="16">
        <f>D34+E34+F34+G34+H34+I34+J34</f>
        <v>234165.80000000005</v>
      </c>
      <c r="D34" s="13">
        <v>26875</v>
      </c>
      <c r="E34" s="13">
        <f>28383.6+V34+AB34+AD34</f>
        <v>30332</v>
      </c>
      <c r="F34" s="13">
        <f>40226.8+AF34</f>
        <v>40162</v>
      </c>
      <c r="G34" s="13">
        <v>34199.2</v>
      </c>
      <c r="H34" s="13">
        <f aca="true" t="shared" si="9" ref="H34:J35">G34</f>
        <v>34199.2</v>
      </c>
      <c r="I34" s="13">
        <f t="shared" si="9"/>
        <v>34199.2</v>
      </c>
      <c r="J34" s="13">
        <f t="shared" si="9"/>
        <v>34199.2</v>
      </c>
      <c r="K34" s="32"/>
      <c r="L34" s="91"/>
      <c r="M34" s="92"/>
      <c r="N34" s="92"/>
      <c r="O34" s="92"/>
      <c r="P34" s="92"/>
      <c r="Q34" s="92"/>
      <c r="R34" s="92"/>
      <c r="S34" s="92"/>
      <c r="T34" s="92"/>
      <c r="V34">
        <v>-162.6</v>
      </c>
      <c r="AB34" s="41">
        <v>1323</v>
      </c>
      <c r="AD34">
        <v>788</v>
      </c>
      <c r="AF34">
        <v>-64.8</v>
      </c>
    </row>
    <row r="35" spans="1:32" ht="48" thickBot="1">
      <c r="A35" s="77">
        <v>17</v>
      </c>
      <c r="B35" s="8" t="s">
        <v>38</v>
      </c>
      <c r="C35" s="16">
        <f>D35+E35+F35+G35+H35+I35+J35</f>
        <v>222887.6</v>
      </c>
      <c r="D35" s="13">
        <v>25653.6</v>
      </c>
      <c r="E35" s="13">
        <f>27061.6+V35+AB35+AD35</f>
        <v>28969.8</v>
      </c>
      <c r="F35" s="13">
        <f>38044.6+AF35</f>
        <v>37979.799999999996</v>
      </c>
      <c r="G35" s="13">
        <v>32571.1</v>
      </c>
      <c r="H35" s="13">
        <f t="shared" si="9"/>
        <v>32571.1</v>
      </c>
      <c r="I35" s="13">
        <f t="shared" si="9"/>
        <v>32571.1</v>
      </c>
      <c r="J35" s="13">
        <f t="shared" si="9"/>
        <v>32571.1</v>
      </c>
      <c r="K35" s="32"/>
      <c r="L35" s="91"/>
      <c r="M35" s="92"/>
      <c r="N35" s="92"/>
      <c r="O35" s="92"/>
      <c r="P35" s="92"/>
      <c r="Q35" s="92"/>
      <c r="R35" s="92"/>
      <c r="S35" s="92"/>
      <c r="T35" s="92"/>
      <c r="V35">
        <v>-154.8</v>
      </c>
      <c r="AB35" s="41">
        <v>1275</v>
      </c>
      <c r="AD35">
        <v>788</v>
      </c>
      <c r="AF35">
        <v>-64.8</v>
      </c>
    </row>
    <row r="36" spans="1:20" ht="16.5" customHeight="1" hidden="1" thickBot="1">
      <c r="A36" s="77"/>
      <c r="B36" s="8" t="s">
        <v>16</v>
      </c>
      <c r="C36" s="16">
        <f>D36+E36+F36+G36+H36+I36+J36</f>
        <v>0</v>
      </c>
      <c r="D36" s="13"/>
      <c r="E36" s="13"/>
      <c r="F36" s="13"/>
      <c r="G36" s="13"/>
      <c r="H36" s="13"/>
      <c r="I36" s="13"/>
      <c r="J36" s="13"/>
      <c r="K36" s="32"/>
      <c r="L36" s="91"/>
      <c r="M36" s="92"/>
      <c r="N36" s="92"/>
      <c r="O36" s="92"/>
      <c r="P36" s="92"/>
      <c r="Q36" s="92"/>
      <c r="R36" s="92"/>
      <c r="S36" s="92"/>
      <c r="T36" s="92"/>
    </row>
    <row r="37" spans="1:20" ht="48" customHeight="1" hidden="1" thickBot="1">
      <c r="A37" s="77"/>
      <c r="B37" s="8" t="s">
        <v>38</v>
      </c>
      <c r="C37" s="16">
        <f>D37+E37+F37+G37+H37+I37+J37</f>
        <v>0</v>
      </c>
      <c r="D37" s="13"/>
      <c r="E37" s="13"/>
      <c r="F37" s="13"/>
      <c r="G37" s="13"/>
      <c r="H37" s="13"/>
      <c r="I37" s="13"/>
      <c r="J37" s="13"/>
      <c r="K37" s="32"/>
      <c r="L37" s="91"/>
      <c r="M37" s="92"/>
      <c r="N37" s="92"/>
      <c r="O37" s="92"/>
      <c r="P37" s="92"/>
      <c r="Q37" s="92"/>
      <c r="R37" s="92"/>
      <c r="S37" s="92"/>
      <c r="T37" s="92"/>
    </row>
    <row r="38" spans="1:20" ht="259.5" customHeight="1" thickBot="1">
      <c r="A38" s="77">
        <v>18</v>
      </c>
      <c r="B38" s="8" t="s">
        <v>46</v>
      </c>
      <c r="C38" s="16">
        <f>C39</f>
        <v>4813.200000000001</v>
      </c>
      <c r="D38" s="16">
        <f aca="true" t="shared" si="10" ref="D38:J38">D39</f>
        <v>564</v>
      </c>
      <c r="E38" s="16">
        <f t="shared" si="10"/>
        <v>747</v>
      </c>
      <c r="F38" s="16">
        <f t="shared" si="10"/>
        <v>687</v>
      </c>
      <c r="G38" s="16">
        <f t="shared" si="10"/>
        <v>703.8</v>
      </c>
      <c r="H38" s="16">
        <f t="shared" si="10"/>
        <v>703.8</v>
      </c>
      <c r="I38" s="16">
        <f t="shared" si="10"/>
        <v>703.8</v>
      </c>
      <c r="J38" s="16">
        <f t="shared" si="10"/>
        <v>703.8</v>
      </c>
      <c r="K38" s="32" t="s">
        <v>84</v>
      </c>
      <c r="L38" s="91"/>
      <c r="M38" s="92"/>
      <c r="N38" s="92"/>
      <c r="O38" s="92"/>
      <c r="P38" s="92"/>
      <c r="Q38" s="92"/>
      <c r="R38" s="92"/>
      <c r="S38" s="92"/>
      <c r="T38" s="92"/>
    </row>
    <row r="39" spans="1:32" ht="16.5" thickBot="1">
      <c r="A39" s="77">
        <v>19</v>
      </c>
      <c r="B39" s="8" t="s">
        <v>15</v>
      </c>
      <c r="C39" s="16">
        <f>D39+E39+F39+G39+H39+I39+J39</f>
        <v>4813.200000000001</v>
      </c>
      <c r="D39" s="13">
        <v>564</v>
      </c>
      <c r="E39" s="13">
        <f>584.4+V39</f>
        <v>747</v>
      </c>
      <c r="F39" s="13">
        <f>622.2+AF39</f>
        <v>687</v>
      </c>
      <c r="G39" s="13">
        <v>703.8</v>
      </c>
      <c r="H39" s="13">
        <f aca="true" t="shared" si="11" ref="H39:J40">G39</f>
        <v>703.8</v>
      </c>
      <c r="I39" s="13">
        <f t="shared" si="11"/>
        <v>703.8</v>
      </c>
      <c r="J39" s="13">
        <f t="shared" si="11"/>
        <v>703.8</v>
      </c>
      <c r="K39" s="32"/>
      <c r="L39" s="91"/>
      <c r="M39" s="92"/>
      <c r="N39" s="92"/>
      <c r="O39" s="92"/>
      <c r="P39" s="92"/>
      <c r="Q39" s="92"/>
      <c r="R39" s="92"/>
      <c r="S39" s="92"/>
      <c r="T39" s="92"/>
      <c r="V39">
        <v>162.6</v>
      </c>
      <c r="AF39">
        <v>64.8</v>
      </c>
    </row>
    <row r="40" spans="1:32" ht="48" thickBot="1">
      <c r="A40" s="77">
        <v>20</v>
      </c>
      <c r="B40" s="8" t="s">
        <v>44</v>
      </c>
      <c r="C40" s="16">
        <f>D40+E40+F40+G40+H40+I40+J40</f>
        <v>4500.7</v>
      </c>
      <c r="D40" s="13">
        <v>546.2</v>
      </c>
      <c r="E40" s="13">
        <f>565.7+AE40</f>
        <v>565.8000000000001</v>
      </c>
      <c r="F40" s="13">
        <f>602.3+AF40</f>
        <v>663.9</v>
      </c>
      <c r="G40" s="13">
        <v>681.2</v>
      </c>
      <c r="H40" s="13">
        <f t="shared" si="11"/>
        <v>681.2</v>
      </c>
      <c r="I40" s="13">
        <f t="shared" si="11"/>
        <v>681.2</v>
      </c>
      <c r="J40" s="13">
        <f t="shared" si="11"/>
        <v>681.2</v>
      </c>
      <c r="K40" s="32"/>
      <c r="L40" s="91"/>
      <c r="M40" s="92"/>
      <c r="N40" s="92"/>
      <c r="O40" s="92"/>
      <c r="P40" s="92"/>
      <c r="Q40" s="92"/>
      <c r="R40" s="92"/>
      <c r="S40" s="92"/>
      <c r="T40" s="92"/>
      <c r="AE40">
        <v>0.1</v>
      </c>
      <c r="AF40">
        <v>61.6</v>
      </c>
    </row>
    <row r="41" spans="1:22" ht="174" thickBot="1">
      <c r="A41" s="77">
        <v>21</v>
      </c>
      <c r="B41" s="31" t="s">
        <v>47</v>
      </c>
      <c r="C41" s="16">
        <f>C42</f>
        <v>250688.69999999995</v>
      </c>
      <c r="D41" s="16">
        <f aca="true" t="shared" si="12" ref="D41:J41">D42</f>
        <v>27745.2</v>
      </c>
      <c r="E41" s="16">
        <f t="shared" si="12"/>
        <v>31465.199999999993</v>
      </c>
      <c r="F41" s="16">
        <f t="shared" si="12"/>
        <v>33603.100000000006</v>
      </c>
      <c r="G41" s="16">
        <f t="shared" si="12"/>
        <v>39468.8</v>
      </c>
      <c r="H41" s="16">
        <f t="shared" si="12"/>
        <v>39468.8</v>
      </c>
      <c r="I41" s="16">
        <f t="shared" si="12"/>
        <v>39468.8</v>
      </c>
      <c r="J41" s="16">
        <f t="shared" si="12"/>
        <v>39468.8</v>
      </c>
      <c r="K41" s="32" t="s">
        <v>84</v>
      </c>
      <c r="L41" s="37">
        <f>L42+L43</f>
        <v>230156</v>
      </c>
      <c r="U41">
        <v>230.2</v>
      </c>
      <c r="V41" s="39">
        <v>199.7</v>
      </c>
    </row>
    <row r="42" spans="1:32" ht="16.5" thickBot="1">
      <c r="A42" s="77">
        <v>22</v>
      </c>
      <c r="B42" s="8" t="s">
        <v>16</v>
      </c>
      <c r="C42" s="16">
        <f>D42+E42+F42+G42+H42+I42+J42</f>
        <v>250688.69999999995</v>
      </c>
      <c r="D42" s="13">
        <f>D43+2364.3+U42-0.1-89.2</f>
        <v>27745.2</v>
      </c>
      <c r="E42" s="13">
        <f>35910.4+V42+W42+Z42+AA42+AB42+AC42+AD42+AE42</f>
        <v>31465.199999999993</v>
      </c>
      <c r="F42" s="13">
        <f>36548.3+AF42</f>
        <v>33603.100000000006</v>
      </c>
      <c r="G42" s="13">
        <v>39468.8</v>
      </c>
      <c r="H42" s="13">
        <f aca="true" t="shared" si="13" ref="H42:J43">G42</f>
        <v>39468.8</v>
      </c>
      <c r="I42" s="13">
        <f t="shared" si="13"/>
        <v>39468.8</v>
      </c>
      <c r="J42" s="13">
        <f t="shared" si="13"/>
        <v>39468.8</v>
      </c>
      <c r="K42" s="32"/>
      <c r="L42" s="109">
        <f>32000</f>
        <v>32000</v>
      </c>
      <c r="M42" s="110"/>
      <c r="N42" s="110"/>
      <c r="O42" s="110"/>
      <c r="P42" s="110"/>
      <c r="Q42" s="110"/>
      <c r="R42" s="110"/>
      <c r="S42" s="110"/>
      <c r="T42" s="110"/>
      <c r="U42">
        <v>32</v>
      </c>
      <c r="V42">
        <v>199.7</v>
      </c>
      <c r="W42">
        <v>-53.1</v>
      </c>
      <c r="Y42" s="49">
        <v>0</v>
      </c>
      <c r="Z42" s="41">
        <f>-2779.7+419.9</f>
        <v>-2359.7999999999997</v>
      </c>
      <c r="AA42" s="41">
        <v>100</v>
      </c>
      <c r="AB42" s="41">
        <v>97.1</v>
      </c>
      <c r="AC42" s="41">
        <v>-400</v>
      </c>
      <c r="AD42" s="41">
        <v>-1818.4</v>
      </c>
      <c r="AE42" s="41">
        <v>-210.7</v>
      </c>
      <c r="AF42" s="41">
        <v>-2945.2</v>
      </c>
    </row>
    <row r="43" spans="1:32" ht="48" thickBot="1">
      <c r="A43" s="77">
        <v>23</v>
      </c>
      <c r="B43" s="8" t="s">
        <v>38</v>
      </c>
      <c r="C43" s="16">
        <f>D43+E43+F43+G43+H43+I43+J43</f>
        <v>233142.3</v>
      </c>
      <c r="D43" s="13">
        <f>25146.4+U43+9.5+84.1</f>
        <v>25438.2</v>
      </c>
      <c r="E43" s="13">
        <f>33609.9+V43+W43+Y43+Z43+AB43+AD43+AE43</f>
        <v>27786.2</v>
      </c>
      <c r="F43" s="13">
        <f>34395.3+AF43</f>
        <v>31697.9</v>
      </c>
      <c r="G43" s="13">
        <v>37055</v>
      </c>
      <c r="H43" s="13">
        <f t="shared" si="13"/>
        <v>37055</v>
      </c>
      <c r="I43" s="13">
        <f t="shared" si="13"/>
        <v>37055</v>
      </c>
      <c r="J43" s="13">
        <f t="shared" si="13"/>
        <v>37055</v>
      </c>
      <c r="K43" s="32"/>
      <c r="L43" s="109">
        <f>24731+173425</f>
        <v>198156</v>
      </c>
      <c r="M43" s="110"/>
      <c r="N43" s="110"/>
      <c r="O43" s="110"/>
      <c r="P43" s="110"/>
      <c r="Q43" s="110"/>
      <c r="R43" s="110"/>
      <c r="S43" s="110"/>
      <c r="T43" s="110"/>
      <c r="U43">
        <v>198.2</v>
      </c>
      <c r="V43">
        <v>190</v>
      </c>
      <c r="W43">
        <v>-53.1</v>
      </c>
      <c r="Y43" s="49">
        <v>-2937.3</v>
      </c>
      <c r="Z43" s="41">
        <v>-2779.7</v>
      </c>
      <c r="AB43" s="41">
        <v>97.1</v>
      </c>
      <c r="AD43" s="41">
        <v>-130</v>
      </c>
      <c r="AE43" s="41">
        <v>-210.7</v>
      </c>
      <c r="AF43" s="41">
        <v>-2697.4</v>
      </c>
    </row>
    <row r="44" spans="1:20" ht="15.75">
      <c r="A44" s="76">
        <v>24</v>
      </c>
      <c r="B44" s="12" t="s">
        <v>29</v>
      </c>
      <c r="C44" s="123">
        <f>C46</f>
        <v>0</v>
      </c>
      <c r="D44" s="123">
        <f aca="true" t="shared" si="14" ref="D44:J44">D46</f>
        <v>0</v>
      </c>
      <c r="E44" s="123">
        <f t="shared" si="14"/>
        <v>0</v>
      </c>
      <c r="F44" s="123">
        <f>F46</f>
        <v>0</v>
      </c>
      <c r="G44" s="123">
        <f t="shared" si="14"/>
        <v>0</v>
      </c>
      <c r="H44" s="123">
        <f t="shared" si="14"/>
        <v>0</v>
      </c>
      <c r="I44" s="123">
        <f t="shared" si="14"/>
        <v>0</v>
      </c>
      <c r="J44" s="123">
        <f t="shared" si="14"/>
        <v>0</v>
      </c>
      <c r="K44" s="107">
        <v>7.8</v>
      </c>
      <c r="L44" s="91"/>
      <c r="M44" s="92"/>
      <c r="N44" s="92"/>
      <c r="O44" s="92"/>
      <c r="P44" s="92"/>
      <c r="Q44" s="92"/>
      <c r="R44" s="92"/>
      <c r="S44" s="92"/>
      <c r="T44" s="92"/>
    </row>
    <row r="45" spans="1:20" ht="95.25" thickBot="1">
      <c r="A45" s="77">
        <v>25</v>
      </c>
      <c r="B45" s="8" t="s">
        <v>59</v>
      </c>
      <c r="C45" s="124"/>
      <c r="D45" s="124"/>
      <c r="E45" s="124"/>
      <c r="F45" s="124"/>
      <c r="G45" s="124"/>
      <c r="H45" s="124"/>
      <c r="I45" s="124"/>
      <c r="J45" s="124"/>
      <c r="K45" s="113"/>
      <c r="L45" s="91"/>
      <c r="M45" s="92"/>
      <c r="N45" s="92"/>
      <c r="O45" s="92"/>
      <c r="P45" s="92"/>
      <c r="Q45" s="92"/>
      <c r="R45" s="92"/>
      <c r="S45" s="92"/>
      <c r="T45" s="92"/>
    </row>
    <row r="46" spans="1:20" ht="16.5" thickBot="1">
      <c r="A46" s="77">
        <v>26</v>
      </c>
      <c r="B46" s="8" t="s">
        <v>16</v>
      </c>
      <c r="C46" s="16">
        <f>D46+E46+F46+G46+H46+I46+J46</f>
        <v>0</v>
      </c>
      <c r="D46" s="13"/>
      <c r="E46" s="13"/>
      <c r="F46" s="13"/>
      <c r="G46" s="13"/>
      <c r="H46" s="13"/>
      <c r="I46" s="13"/>
      <c r="J46" s="13"/>
      <c r="K46" s="32"/>
      <c r="L46" s="91"/>
      <c r="M46" s="92"/>
      <c r="N46" s="92"/>
      <c r="O46" s="92"/>
      <c r="P46" s="92"/>
      <c r="Q46" s="92"/>
      <c r="R46" s="92"/>
      <c r="S46" s="92"/>
      <c r="T46" s="92"/>
    </row>
    <row r="47" spans="1:20" ht="48" thickBot="1">
      <c r="A47" s="77">
        <v>27</v>
      </c>
      <c r="B47" s="8" t="s">
        <v>38</v>
      </c>
      <c r="C47" s="16">
        <f>D47+E47+F47+G47+H47+I47+J47</f>
        <v>0</v>
      </c>
      <c r="D47" s="13"/>
      <c r="E47" s="13"/>
      <c r="F47" s="13"/>
      <c r="G47" s="13"/>
      <c r="H47" s="13"/>
      <c r="I47" s="13"/>
      <c r="J47" s="13"/>
      <c r="K47" s="32"/>
      <c r="L47" s="91"/>
      <c r="M47" s="92"/>
      <c r="N47" s="92"/>
      <c r="O47" s="92"/>
      <c r="P47" s="92"/>
      <c r="Q47" s="92"/>
      <c r="R47" s="92"/>
      <c r="S47" s="92"/>
      <c r="T47" s="92"/>
    </row>
    <row r="48" spans="1:20" ht="15.75">
      <c r="A48" s="94">
        <v>28</v>
      </c>
      <c r="B48" s="12" t="s">
        <v>21</v>
      </c>
      <c r="C48" s="123">
        <f>C50+C52</f>
        <v>5211.4</v>
      </c>
      <c r="D48" s="123">
        <f aca="true" t="shared" si="15" ref="D48:J48">D50+D52</f>
        <v>1572.3</v>
      </c>
      <c r="E48" s="123">
        <f t="shared" si="15"/>
        <v>598.7</v>
      </c>
      <c r="F48" s="123">
        <f t="shared" si="15"/>
        <v>3040.3999999999996</v>
      </c>
      <c r="G48" s="123">
        <f t="shared" si="15"/>
        <v>0</v>
      </c>
      <c r="H48" s="123">
        <f t="shared" si="15"/>
        <v>0</v>
      </c>
      <c r="I48" s="123">
        <f t="shared" si="15"/>
        <v>0</v>
      </c>
      <c r="J48" s="123">
        <f t="shared" si="15"/>
        <v>0</v>
      </c>
      <c r="K48" s="107" t="s">
        <v>85</v>
      </c>
      <c r="L48" s="129">
        <f>L53</f>
        <v>-324961.3600000001</v>
      </c>
      <c r="M48" s="112"/>
      <c r="N48" s="112"/>
      <c r="O48" s="112"/>
      <c r="P48" s="112"/>
      <c r="Q48" s="112"/>
      <c r="R48" s="112"/>
      <c r="S48" s="112"/>
      <c r="T48" s="112"/>
    </row>
    <row r="49" spans="1:21" ht="111.75" customHeight="1" thickBot="1">
      <c r="A49" s="95"/>
      <c r="B49" s="8" t="s">
        <v>66</v>
      </c>
      <c r="C49" s="124"/>
      <c r="D49" s="124"/>
      <c r="E49" s="124"/>
      <c r="F49" s="124"/>
      <c r="G49" s="124"/>
      <c r="H49" s="124"/>
      <c r="I49" s="124"/>
      <c r="J49" s="124"/>
      <c r="K49" s="113"/>
      <c r="L49" s="111"/>
      <c r="M49" s="112"/>
      <c r="N49" s="112"/>
      <c r="O49" s="112"/>
      <c r="P49" s="112"/>
      <c r="Q49" s="112"/>
      <c r="R49" s="112"/>
      <c r="S49" s="112"/>
      <c r="T49" s="112"/>
      <c r="U49">
        <v>-325</v>
      </c>
    </row>
    <row r="50" spans="1:20" ht="16.5" thickBot="1">
      <c r="A50" s="77">
        <v>29</v>
      </c>
      <c r="B50" s="8" t="s">
        <v>15</v>
      </c>
      <c r="C50" s="16">
        <f>D50+E50+F50+G50+H50+I50+J50</f>
        <v>0</v>
      </c>
      <c r="D50" s="13"/>
      <c r="E50" s="13"/>
      <c r="F50" s="13"/>
      <c r="G50" s="13"/>
      <c r="H50" s="13"/>
      <c r="I50" s="13"/>
      <c r="J50" s="13"/>
      <c r="K50" s="32"/>
      <c r="L50" s="91"/>
      <c r="M50" s="92"/>
      <c r="N50" s="92"/>
      <c r="O50" s="92"/>
      <c r="P50" s="92"/>
      <c r="Q50" s="92"/>
      <c r="R50" s="92"/>
      <c r="S50" s="92"/>
      <c r="T50" s="92"/>
    </row>
    <row r="51" spans="1:20" ht="48" thickBot="1">
      <c r="A51" s="77">
        <v>30</v>
      </c>
      <c r="B51" s="8" t="s">
        <v>38</v>
      </c>
      <c r="C51" s="16">
        <f>D51+E51+F51+G51+H51+I51+J51</f>
        <v>0</v>
      </c>
      <c r="D51" s="13"/>
      <c r="E51" s="13"/>
      <c r="F51" s="13"/>
      <c r="G51" s="13"/>
      <c r="H51" s="13"/>
      <c r="I51" s="13"/>
      <c r="J51" s="13"/>
      <c r="K51" s="32"/>
      <c r="L51" s="91"/>
      <c r="M51" s="92"/>
      <c r="N51" s="92"/>
      <c r="O51" s="92"/>
      <c r="P51" s="92"/>
      <c r="Q51" s="92"/>
      <c r="R51" s="92"/>
      <c r="S51" s="92"/>
      <c r="T51" s="92"/>
    </row>
    <row r="52" spans="1:32" ht="16.5" thickBot="1">
      <c r="A52" s="77">
        <v>31</v>
      </c>
      <c r="B52" s="8" t="s">
        <v>16</v>
      </c>
      <c r="C52" s="16">
        <f>D52+E52+F52+G52+H52+I52+J52</f>
        <v>5211.4</v>
      </c>
      <c r="D52" s="13">
        <f>D53</f>
        <v>1572.3</v>
      </c>
      <c r="E52" s="13">
        <f>W52+Z52+AC52</f>
        <v>598.7</v>
      </c>
      <c r="F52" s="13">
        <f>3067.2+AF52</f>
        <v>3040.3999999999996</v>
      </c>
      <c r="G52" s="13">
        <v>0</v>
      </c>
      <c r="H52" s="13">
        <f>H53</f>
        <v>0</v>
      </c>
      <c r="I52" s="13">
        <f>I53</f>
        <v>0</v>
      </c>
      <c r="J52" s="13">
        <f>J53</f>
        <v>0</v>
      </c>
      <c r="K52" s="32"/>
      <c r="L52" s="109">
        <v>-324961.36</v>
      </c>
      <c r="M52" s="110"/>
      <c r="N52" s="110"/>
      <c r="O52" s="110"/>
      <c r="P52" s="110"/>
      <c r="Q52" s="110"/>
      <c r="R52" s="110"/>
      <c r="S52" s="110"/>
      <c r="T52" s="110"/>
      <c r="U52">
        <v>-325</v>
      </c>
      <c r="W52">
        <v>53.1</v>
      </c>
      <c r="Z52" s="41">
        <v>145.6</v>
      </c>
      <c r="AC52">
        <v>400</v>
      </c>
      <c r="AF52">
        <v>-26.8</v>
      </c>
    </row>
    <row r="53" spans="1:32" ht="48" thickBot="1">
      <c r="A53" s="77">
        <v>32</v>
      </c>
      <c r="B53" s="8" t="s">
        <v>38</v>
      </c>
      <c r="C53" s="16">
        <f>D53+E53+F53+G53+H53+I53+J53</f>
        <v>5211.4</v>
      </c>
      <c r="D53" s="13">
        <f>2300+U53+53.6-456.3</f>
        <v>1572.3</v>
      </c>
      <c r="E53" s="13">
        <f>W53+Z53+AC53</f>
        <v>598.7</v>
      </c>
      <c r="F53" s="13">
        <f>3067.2+AF53</f>
        <v>3040.3999999999996</v>
      </c>
      <c r="G53" s="13">
        <v>0</v>
      </c>
      <c r="H53" s="13">
        <v>0</v>
      </c>
      <c r="I53" s="13">
        <v>0</v>
      </c>
      <c r="J53" s="13">
        <v>0</v>
      </c>
      <c r="K53" s="32"/>
      <c r="L53" s="127">
        <f>-2300000+1447638.64+527400</f>
        <v>-324961.3600000001</v>
      </c>
      <c r="M53" s="128"/>
      <c r="N53" s="128"/>
      <c r="O53" s="128"/>
      <c r="P53" s="128"/>
      <c r="Q53" s="128"/>
      <c r="R53" s="128"/>
      <c r="S53" s="128"/>
      <c r="T53" s="128"/>
      <c r="U53" s="38">
        <v>-325</v>
      </c>
      <c r="W53">
        <v>53.1</v>
      </c>
      <c r="Z53" s="41">
        <v>145.6</v>
      </c>
      <c r="AC53">
        <v>400</v>
      </c>
      <c r="AF53">
        <v>-26.8</v>
      </c>
    </row>
    <row r="54" spans="1:20" ht="16.5" customHeight="1" thickBot="1">
      <c r="A54" s="94"/>
      <c r="B54" s="27" t="s">
        <v>43</v>
      </c>
      <c r="C54" s="85">
        <f>C56+C58</f>
        <v>0</v>
      </c>
      <c r="D54" s="85">
        <f aca="true" t="shared" si="16" ref="D54:J54">D56+D58</f>
        <v>0</v>
      </c>
      <c r="E54" s="85">
        <f t="shared" si="16"/>
        <v>0</v>
      </c>
      <c r="F54" s="85">
        <f t="shared" si="16"/>
        <v>0</v>
      </c>
      <c r="G54" s="85">
        <f t="shared" si="16"/>
        <v>0</v>
      </c>
      <c r="H54" s="85">
        <f t="shared" si="16"/>
        <v>0</v>
      </c>
      <c r="I54" s="85">
        <f t="shared" si="16"/>
        <v>0</v>
      </c>
      <c r="J54" s="85">
        <f t="shared" si="16"/>
        <v>0</v>
      </c>
      <c r="K54" s="40">
        <v>12.13</v>
      </c>
      <c r="L54" s="91"/>
      <c r="M54" s="92"/>
      <c r="N54" s="92"/>
      <c r="O54" s="92"/>
      <c r="P54" s="92"/>
      <c r="Q54" s="92"/>
      <c r="R54" s="92"/>
      <c r="S54" s="92"/>
      <c r="T54" s="92"/>
    </row>
    <row r="55" spans="1:20" ht="118.5" customHeight="1" thickBot="1">
      <c r="A55" s="95"/>
      <c r="B55" s="21" t="s">
        <v>60</v>
      </c>
      <c r="C55" s="86"/>
      <c r="D55" s="86"/>
      <c r="E55" s="86"/>
      <c r="F55" s="86"/>
      <c r="G55" s="86"/>
      <c r="H55" s="86"/>
      <c r="I55" s="86"/>
      <c r="J55" s="86"/>
      <c r="K55" s="40"/>
      <c r="L55" s="91"/>
      <c r="M55" s="92"/>
      <c r="N55" s="92"/>
      <c r="O55" s="92"/>
      <c r="P55" s="92"/>
      <c r="Q55" s="92"/>
      <c r="R55" s="92"/>
      <c r="S55" s="92"/>
      <c r="T55" s="92"/>
    </row>
    <row r="56" spans="1:20" ht="16.5" customHeight="1" thickBot="1">
      <c r="A56" s="77"/>
      <c r="B56" s="21" t="s">
        <v>15</v>
      </c>
      <c r="C56" s="25">
        <f>D56+E56+F56+G56+H56+I56+J56</f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40"/>
      <c r="L56" s="91"/>
      <c r="M56" s="92"/>
      <c r="N56" s="92"/>
      <c r="O56" s="92"/>
      <c r="P56" s="92"/>
      <c r="Q56" s="92"/>
      <c r="R56" s="92"/>
      <c r="S56" s="92"/>
      <c r="T56" s="92"/>
    </row>
    <row r="57" spans="1:20" ht="48" customHeight="1" thickBot="1">
      <c r="A57" s="77"/>
      <c r="B57" s="21" t="s">
        <v>38</v>
      </c>
      <c r="C57" s="25">
        <f>D57+E57+F57+G57+H57+I57+J57</f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40"/>
      <c r="L57" s="91"/>
      <c r="M57" s="92"/>
      <c r="N57" s="92"/>
      <c r="O57" s="92"/>
      <c r="P57" s="92"/>
      <c r="Q57" s="92"/>
      <c r="R57" s="92"/>
      <c r="S57" s="92"/>
      <c r="T57" s="92"/>
    </row>
    <row r="58" spans="1:20" ht="16.5" customHeight="1" thickBot="1">
      <c r="A58" s="77"/>
      <c r="B58" s="21" t="s">
        <v>16</v>
      </c>
      <c r="C58" s="25">
        <f>D58+E58+F58+G58+H58+I58+J58</f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40"/>
      <c r="L58" s="91"/>
      <c r="M58" s="92"/>
      <c r="N58" s="92"/>
      <c r="O58" s="92"/>
      <c r="P58" s="92"/>
      <c r="Q58" s="92"/>
      <c r="R58" s="92"/>
      <c r="S58" s="92"/>
      <c r="T58" s="92"/>
    </row>
    <row r="59" spans="1:20" ht="48" customHeight="1" thickBot="1">
      <c r="A59" s="77"/>
      <c r="B59" s="21" t="s">
        <v>38</v>
      </c>
      <c r="C59" s="25">
        <f>D59+E59+F59+G59+H59+I59+J59</f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6"/>
      <c r="L59" s="91"/>
      <c r="M59" s="92"/>
      <c r="N59" s="92"/>
      <c r="O59" s="92"/>
      <c r="P59" s="92"/>
      <c r="Q59" s="92"/>
      <c r="R59" s="92"/>
      <c r="S59" s="92"/>
      <c r="T59" s="92"/>
    </row>
    <row r="60" spans="1:20" ht="111" thickBot="1">
      <c r="A60" s="77">
        <v>33</v>
      </c>
      <c r="B60" s="31" t="s">
        <v>107</v>
      </c>
      <c r="C60" s="16">
        <f>C61+C63</f>
        <v>69</v>
      </c>
      <c r="D60" s="16">
        <f aca="true" t="shared" si="17" ref="D60:J60">D61+D63</f>
        <v>0</v>
      </c>
      <c r="E60" s="16">
        <f t="shared" si="17"/>
        <v>0</v>
      </c>
      <c r="F60" s="16">
        <f t="shared" si="17"/>
        <v>69</v>
      </c>
      <c r="G60" s="16">
        <f t="shared" si="17"/>
        <v>0</v>
      </c>
      <c r="H60" s="16">
        <f t="shared" si="17"/>
        <v>0</v>
      </c>
      <c r="I60" s="16">
        <f t="shared" si="17"/>
        <v>0</v>
      </c>
      <c r="J60" s="16">
        <f t="shared" si="17"/>
        <v>0</v>
      </c>
      <c r="K60" s="10">
        <v>12.13</v>
      </c>
      <c r="L60" s="91"/>
      <c r="M60" s="92"/>
      <c r="N60" s="92"/>
      <c r="O60" s="92"/>
      <c r="P60" s="92"/>
      <c r="Q60" s="92"/>
      <c r="R60" s="92"/>
      <c r="S60" s="92"/>
      <c r="T60" s="92"/>
    </row>
    <row r="61" spans="1:20" ht="16.5" thickBot="1">
      <c r="A61" s="77">
        <v>34</v>
      </c>
      <c r="B61" s="8" t="s">
        <v>15</v>
      </c>
      <c r="C61" s="16">
        <f>D61+E61+F61+G61+H61+I61+J61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0"/>
      <c r="L61" s="91"/>
      <c r="M61" s="92"/>
      <c r="N61" s="92"/>
      <c r="O61" s="92"/>
      <c r="P61" s="92"/>
      <c r="Q61" s="92"/>
      <c r="R61" s="92"/>
      <c r="S61" s="92"/>
      <c r="T61" s="92"/>
    </row>
    <row r="62" spans="1:20" ht="48" thickBot="1">
      <c r="A62" s="77">
        <v>35</v>
      </c>
      <c r="B62" s="8" t="s">
        <v>38</v>
      </c>
      <c r="C62" s="16">
        <f>D62+E62+F62+G62+H62+I62+J62</f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0"/>
      <c r="L62" s="91"/>
      <c r="M62" s="92"/>
      <c r="N62" s="92"/>
      <c r="O62" s="92"/>
      <c r="P62" s="92"/>
      <c r="Q62" s="92"/>
      <c r="R62" s="92"/>
      <c r="S62" s="92"/>
      <c r="T62" s="92"/>
    </row>
    <row r="63" spans="1:20" ht="16.5" thickBot="1">
      <c r="A63" s="77">
        <v>36</v>
      </c>
      <c r="B63" s="8" t="s">
        <v>16</v>
      </c>
      <c r="C63" s="16">
        <f>D63+E63+F63+G63+H63+I63+J63</f>
        <v>69</v>
      </c>
      <c r="D63" s="13">
        <v>0</v>
      </c>
      <c r="E63" s="13">
        <v>0</v>
      </c>
      <c r="F63" s="13">
        <v>69</v>
      </c>
      <c r="G63" s="13">
        <v>0</v>
      </c>
      <c r="H63" s="13">
        <v>0</v>
      </c>
      <c r="I63" s="13">
        <v>0</v>
      </c>
      <c r="J63" s="13">
        <v>0</v>
      </c>
      <c r="K63" s="10"/>
      <c r="L63" s="91"/>
      <c r="M63" s="92"/>
      <c r="N63" s="92"/>
      <c r="O63" s="92"/>
      <c r="P63" s="92"/>
      <c r="Q63" s="92"/>
      <c r="R63" s="92"/>
      <c r="S63" s="92"/>
      <c r="T63" s="92"/>
    </row>
    <row r="64" spans="1:20" ht="48" thickBot="1">
      <c r="A64" s="77">
        <v>37</v>
      </c>
      <c r="B64" s="8" t="s">
        <v>38</v>
      </c>
      <c r="C64" s="16">
        <f>D64+E64+F64+G64+H64+I64+J64</f>
        <v>69</v>
      </c>
      <c r="D64" s="13">
        <v>0</v>
      </c>
      <c r="E64" s="13">
        <v>0</v>
      </c>
      <c r="F64" s="13">
        <v>69</v>
      </c>
      <c r="G64" s="13">
        <v>0</v>
      </c>
      <c r="H64" s="13">
        <v>0</v>
      </c>
      <c r="I64" s="13">
        <v>0</v>
      </c>
      <c r="J64" s="13">
        <v>0</v>
      </c>
      <c r="K64" s="10"/>
      <c r="L64" s="91"/>
      <c r="M64" s="92"/>
      <c r="N64" s="92"/>
      <c r="O64" s="92"/>
      <c r="P64" s="92"/>
      <c r="Q64" s="92"/>
      <c r="R64" s="92"/>
      <c r="S64" s="92"/>
      <c r="T64" s="92"/>
    </row>
    <row r="65" spans="1:25" s="41" customFormat="1" ht="15.75" customHeight="1">
      <c r="A65" s="83">
        <v>107</v>
      </c>
      <c r="B65" s="27" t="s">
        <v>26</v>
      </c>
      <c r="C65" s="85">
        <f aca="true" t="shared" si="18" ref="C65:J65">C69+C71+C67</f>
        <v>218</v>
      </c>
      <c r="D65" s="85">
        <f t="shared" si="18"/>
        <v>0</v>
      </c>
      <c r="E65" s="85">
        <f t="shared" si="18"/>
        <v>0</v>
      </c>
      <c r="F65" s="85">
        <f t="shared" si="18"/>
        <v>218</v>
      </c>
      <c r="G65" s="85">
        <f t="shared" si="18"/>
        <v>0</v>
      </c>
      <c r="H65" s="85">
        <f t="shared" si="18"/>
        <v>0</v>
      </c>
      <c r="I65" s="85">
        <f t="shared" si="18"/>
        <v>0</v>
      </c>
      <c r="J65" s="85">
        <f t="shared" si="18"/>
        <v>0</v>
      </c>
      <c r="K65" s="89"/>
      <c r="L65" s="87">
        <f>L69+L70+L71+L72</f>
        <v>5567</v>
      </c>
      <c r="M65" s="88"/>
      <c r="N65" s="88"/>
      <c r="O65" s="88"/>
      <c r="P65" s="88"/>
      <c r="Q65" s="88"/>
      <c r="R65" s="88"/>
      <c r="S65" s="88"/>
      <c r="T65" s="88"/>
      <c r="Y65" s="49"/>
    </row>
    <row r="66" spans="1:25" s="41" customFormat="1" ht="96.75" customHeight="1" thickBot="1">
      <c r="A66" s="84"/>
      <c r="B66" s="21" t="s">
        <v>106</v>
      </c>
      <c r="C66" s="86"/>
      <c r="D66" s="86"/>
      <c r="E66" s="86"/>
      <c r="F66" s="86"/>
      <c r="G66" s="86"/>
      <c r="H66" s="86"/>
      <c r="I66" s="86"/>
      <c r="J66" s="86"/>
      <c r="K66" s="90"/>
      <c r="L66" s="87"/>
      <c r="M66" s="88"/>
      <c r="N66" s="88"/>
      <c r="O66" s="88"/>
      <c r="P66" s="88"/>
      <c r="Q66" s="88"/>
      <c r="R66" s="88"/>
      <c r="S66" s="88"/>
      <c r="T66" s="88"/>
      <c r="U66" s="41">
        <v>5.6</v>
      </c>
      <c r="Y66" s="49"/>
    </row>
    <row r="67" spans="1:28" s="41" customFormat="1" ht="16.5" thickBot="1">
      <c r="A67" s="80">
        <v>108</v>
      </c>
      <c r="B67" s="21" t="s">
        <v>98</v>
      </c>
      <c r="C67" s="25">
        <f aca="true" t="shared" si="19" ref="C67:C72">D67+E67+F67+G67+H67+I67+J67</f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40"/>
      <c r="L67" s="81">
        <f>-18108</f>
        <v>-18108</v>
      </c>
      <c r="M67" s="82"/>
      <c r="N67" s="82"/>
      <c r="O67" s="82"/>
      <c r="P67" s="82"/>
      <c r="Q67" s="82"/>
      <c r="R67" s="82"/>
      <c r="S67" s="82"/>
      <c r="T67" s="82"/>
      <c r="U67" s="42">
        <v>-18.1</v>
      </c>
      <c r="Y67" s="49"/>
      <c r="AB67" s="41">
        <v>698</v>
      </c>
    </row>
    <row r="68" spans="1:28" s="41" customFormat="1" ht="48" thickBot="1">
      <c r="A68" s="80">
        <v>109</v>
      </c>
      <c r="B68" s="21" t="s">
        <v>44</v>
      </c>
      <c r="C68" s="25">
        <f t="shared" si="19"/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40"/>
      <c r="L68" s="81">
        <f>18108</f>
        <v>18108</v>
      </c>
      <c r="M68" s="82"/>
      <c r="N68" s="82"/>
      <c r="O68" s="82"/>
      <c r="P68" s="82"/>
      <c r="Q68" s="82"/>
      <c r="R68" s="82"/>
      <c r="S68" s="82"/>
      <c r="T68" s="82"/>
      <c r="U68" s="42">
        <v>18.1</v>
      </c>
      <c r="Y68" s="49"/>
      <c r="AB68" s="41">
        <v>698</v>
      </c>
    </row>
    <row r="69" spans="1:28" s="41" customFormat="1" ht="16.5" thickBot="1">
      <c r="A69" s="80">
        <v>110</v>
      </c>
      <c r="B69" s="21" t="s">
        <v>15</v>
      </c>
      <c r="C69" s="25">
        <f t="shared" si="19"/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40"/>
      <c r="L69" s="81">
        <f>-18108</f>
        <v>-18108</v>
      </c>
      <c r="M69" s="82"/>
      <c r="N69" s="82"/>
      <c r="O69" s="82"/>
      <c r="P69" s="82"/>
      <c r="Q69" s="82"/>
      <c r="R69" s="82"/>
      <c r="S69" s="82"/>
      <c r="T69" s="82"/>
      <c r="U69" s="42">
        <v>-18.1</v>
      </c>
      <c r="Y69" s="49"/>
      <c r="AB69" s="41">
        <v>299.2</v>
      </c>
    </row>
    <row r="70" spans="1:28" s="41" customFormat="1" ht="48" thickBot="1">
      <c r="A70" s="80">
        <v>111</v>
      </c>
      <c r="B70" s="21" t="s">
        <v>44</v>
      </c>
      <c r="C70" s="25">
        <f t="shared" si="19"/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40"/>
      <c r="L70" s="81">
        <f>18108</f>
        <v>18108</v>
      </c>
      <c r="M70" s="82"/>
      <c r="N70" s="82"/>
      <c r="O70" s="82"/>
      <c r="P70" s="82"/>
      <c r="Q70" s="82"/>
      <c r="R70" s="82"/>
      <c r="S70" s="82"/>
      <c r="T70" s="82"/>
      <c r="U70" s="42">
        <v>18.1</v>
      </c>
      <c r="Y70" s="49"/>
      <c r="AB70" s="41">
        <v>299.2</v>
      </c>
    </row>
    <row r="71" spans="1:25" s="41" customFormat="1" ht="21" customHeight="1" thickBot="1">
      <c r="A71" s="80">
        <v>112</v>
      </c>
      <c r="B71" s="21" t="s">
        <v>16</v>
      </c>
      <c r="C71" s="25">
        <f t="shared" si="19"/>
        <v>218</v>
      </c>
      <c r="D71" s="24">
        <v>0</v>
      </c>
      <c r="E71" s="24">
        <v>0</v>
      </c>
      <c r="F71" s="24">
        <v>218</v>
      </c>
      <c r="G71" s="24">
        <v>0</v>
      </c>
      <c r="H71" s="24">
        <v>0</v>
      </c>
      <c r="I71" s="24">
        <f>H71</f>
        <v>0</v>
      </c>
      <c r="J71" s="24">
        <f>I71</f>
        <v>0</v>
      </c>
      <c r="K71" s="40"/>
      <c r="L71" s="81">
        <f>-16541+4000</f>
        <v>-12541</v>
      </c>
      <c r="M71" s="82"/>
      <c r="N71" s="82"/>
      <c r="O71" s="82"/>
      <c r="P71" s="82"/>
      <c r="Q71" s="82"/>
      <c r="R71" s="82"/>
      <c r="S71" s="82"/>
      <c r="T71" s="82"/>
      <c r="U71" s="41">
        <v>-12.5</v>
      </c>
      <c r="Y71" s="49">
        <v>90.7</v>
      </c>
    </row>
    <row r="72" spans="1:25" s="41" customFormat="1" ht="48" thickBot="1">
      <c r="A72" s="80">
        <v>113</v>
      </c>
      <c r="B72" s="21" t="s">
        <v>44</v>
      </c>
      <c r="C72" s="25">
        <f t="shared" si="19"/>
        <v>218</v>
      </c>
      <c r="D72" s="24">
        <v>0</v>
      </c>
      <c r="E72" s="24">
        <v>0</v>
      </c>
      <c r="F72" s="24">
        <v>218</v>
      </c>
      <c r="G72" s="24">
        <v>0</v>
      </c>
      <c r="H72" s="24">
        <v>0</v>
      </c>
      <c r="I72" s="24">
        <f>H72</f>
        <v>0</v>
      </c>
      <c r="J72" s="24">
        <f>I72</f>
        <v>0</v>
      </c>
      <c r="K72" s="40"/>
      <c r="L72" s="81">
        <f>18108</f>
        <v>18108</v>
      </c>
      <c r="M72" s="82"/>
      <c r="N72" s="82"/>
      <c r="O72" s="82"/>
      <c r="P72" s="82"/>
      <c r="Q72" s="82"/>
      <c r="R72" s="82"/>
      <c r="S72" s="82"/>
      <c r="T72" s="82"/>
      <c r="U72" s="41">
        <v>18.1</v>
      </c>
      <c r="Y72" s="49">
        <v>90.7</v>
      </c>
    </row>
    <row r="73" spans="1:28" ht="31.5" customHeight="1" thickBot="1">
      <c r="A73" s="11">
        <v>38</v>
      </c>
      <c r="B73" s="120" t="s">
        <v>22</v>
      </c>
      <c r="C73" s="121"/>
      <c r="D73" s="121"/>
      <c r="E73" s="121"/>
      <c r="F73" s="121"/>
      <c r="G73" s="121"/>
      <c r="H73" s="121"/>
      <c r="I73" s="121"/>
      <c r="J73" s="121"/>
      <c r="K73" s="122"/>
      <c r="L73" s="91"/>
      <c r="M73" s="92"/>
      <c r="N73" s="92"/>
      <c r="O73" s="92"/>
      <c r="P73" s="92"/>
      <c r="Q73" s="92"/>
      <c r="R73" s="92"/>
      <c r="S73" s="92"/>
      <c r="T73" s="92"/>
      <c r="AB73" s="41">
        <f>AB87+AB95+AB98+AB106+AB111+AB132+AB158</f>
        <v>-2224.1</v>
      </c>
    </row>
    <row r="74" spans="1:21" ht="48" thickBot="1">
      <c r="A74" s="77">
        <v>39</v>
      </c>
      <c r="B74" s="8" t="s">
        <v>20</v>
      </c>
      <c r="C74" s="18">
        <f>C79+C81+0.1+C77</f>
        <v>1240902.2000000002</v>
      </c>
      <c r="D74" s="18">
        <f>D79+D81+0.1</f>
        <v>166098.6</v>
      </c>
      <c r="E74" s="18">
        <f aca="true" t="shared" si="20" ref="E74:J74">E79+E81+E77</f>
        <v>169098.9</v>
      </c>
      <c r="F74" s="18">
        <f>F79+F81+F77</f>
        <v>175775.9</v>
      </c>
      <c r="G74" s="18">
        <f t="shared" si="20"/>
        <v>182482.2</v>
      </c>
      <c r="H74" s="18">
        <f t="shared" si="20"/>
        <v>182482.2</v>
      </c>
      <c r="I74" s="18">
        <f t="shared" si="20"/>
        <v>182482.2</v>
      </c>
      <c r="J74" s="18">
        <f t="shared" si="20"/>
        <v>182482.2</v>
      </c>
      <c r="K74" s="32"/>
      <c r="L74" s="91">
        <f>L86+L91+L94+L97+L105+L128+L134</f>
        <v>622205.3600000001</v>
      </c>
      <c r="M74" s="92"/>
      <c r="N74" s="92"/>
      <c r="O74" s="92"/>
      <c r="P74" s="92"/>
      <c r="Q74" s="92"/>
      <c r="R74" s="92"/>
      <c r="S74" s="92"/>
      <c r="T74" s="92"/>
      <c r="U74">
        <f>U86+U91+U94+U105+U135+U129</f>
        <v>622.2</v>
      </c>
    </row>
    <row r="75" spans="1:20" ht="16.5" customHeight="1" hidden="1" thickBot="1">
      <c r="A75" s="77"/>
      <c r="B75" s="8" t="s">
        <v>39</v>
      </c>
      <c r="C75" s="18"/>
      <c r="D75" s="19"/>
      <c r="E75" s="19"/>
      <c r="F75" s="19"/>
      <c r="G75" s="19"/>
      <c r="H75" s="19"/>
      <c r="I75" s="19"/>
      <c r="J75" s="19"/>
      <c r="K75" s="32"/>
      <c r="L75" s="91"/>
      <c r="M75" s="92"/>
      <c r="N75" s="92"/>
      <c r="O75" s="92"/>
      <c r="P75" s="92"/>
      <c r="Q75" s="92"/>
      <c r="R75" s="92"/>
      <c r="S75" s="92"/>
      <c r="T75" s="92"/>
    </row>
    <row r="76" spans="1:20" ht="48" customHeight="1" hidden="1" thickBot="1">
      <c r="A76" s="77"/>
      <c r="B76" s="8" t="s">
        <v>38</v>
      </c>
      <c r="C76" s="18"/>
      <c r="D76" s="19"/>
      <c r="E76" s="19"/>
      <c r="F76" s="19"/>
      <c r="G76" s="19"/>
      <c r="H76" s="19"/>
      <c r="I76" s="19"/>
      <c r="J76" s="19"/>
      <c r="K76" s="32"/>
      <c r="L76" s="91"/>
      <c r="M76" s="92"/>
      <c r="N76" s="92"/>
      <c r="O76" s="92"/>
      <c r="P76" s="92"/>
      <c r="Q76" s="92"/>
      <c r="R76" s="92"/>
      <c r="S76" s="92"/>
      <c r="T76" s="92"/>
    </row>
    <row r="77" spans="1:20" ht="16.5" thickBot="1">
      <c r="A77" s="77">
        <v>40</v>
      </c>
      <c r="B77" s="8" t="s">
        <v>98</v>
      </c>
      <c r="C77" s="18">
        <f>D77+E77+F77+G77+H77+I77+J77</f>
        <v>1243.4</v>
      </c>
      <c r="D77" s="19">
        <f>D152</f>
        <v>0</v>
      </c>
      <c r="E77" s="19">
        <f>E154+E162</f>
        <v>1243.4</v>
      </c>
      <c r="F77" s="19">
        <f aca="true" t="shared" si="21" ref="F77:J78">F154</f>
        <v>0</v>
      </c>
      <c r="G77" s="19">
        <f t="shared" si="21"/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32"/>
      <c r="L77" s="91"/>
      <c r="M77" s="92"/>
      <c r="N77" s="92"/>
      <c r="O77" s="92"/>
      <c r="P77" s="92"/>
      <c r="Q77" s="92"/>
      <c r="R77" s="92"/>
      <c r="S77" s="92"/>
      <c r="T77" s="92"/>
    </row>
    <row r="78" spans="1:20" ht="48" thickBot="1">
      <c r="A78" s="77">
        <v>41</v>
      </c>
      <c r="B78" s="8" t="s">
        <v>44</v>
      </c>
      <c r="C78" s="16">
        <f>D78+E78+F78+G78+H78+I78+J78</f>
        <v>698</v>
      </c>
      <c r="D78" s="19">
        <f>D155</f>
        <v>0</v>
      </c>
      <c r="E78" s="19">
        <f>E155+E163</f>
        <v>698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32"/>
      <c r="L78" s="91"/>
      <c r="M78" s="92"/>
      <c r="N78" s="92"/>
      <c r="O78" s="92"/>
      <c r="P78" s="92"/>
      <c r="Q78" s="92"/>
      <c r="R78" s="92"/>
      <c r="S78" s="92"/>
      <c r="T78" s="92"/>
    </row>
    <row r="79" spans="1:20" ht="16.5" thickBot="1">
      <c r="A79" s="77">
        <v>42</v>
      </c>
      <c r="B79" s="8" t="s">
        <v>15</v>
      </c>
      <c r="C79" s="18">
        <f>D79+E79+F79+G79+H79+I79+J79</f>
        <v>751862.8</v>
      </c>
      <c r="D79" s="19">
        <f aca="true" t="shared" si="22" ref="D79:J80">D87+D92+D98+D103+D124+D142+D147</f>
        <v>95863</v>
      </c>
      <c r="E79" s="19">
        <f>E87+E92+E98+E103+E124+E142+E147+E156+E164</f>
        <v>100292.8</v>
      </c>
      <c r="F79" s="19">
        <f t="shared" si="22"/>
        <v>114751</v>
      </c>
      <c r="G79" s="19">
        <f t="shared" si="22"/>
        <v>110239</v>
      </c>
      <c r="H79" s="19">
        <f t="shared" si="22"/>
        <v>110239</v>
      </c>
      <c r="I79" s="19">
        <f t="shared" si="22"/>
        <v>110239</v>
      </c>
      <c r="J79" s="19">
        <f t="shared" si="22"/>
        <v>110239</v>
      </c>
      <c r="K79" s="32"/>
      <c r="L79" s="91"/>
      <c r="M79" s="92"/>
      <c r="N79" s="92"/>
      <c r="O79" s="92"/>
      <c r="P79" s="92"/>
      <c r="Q79" s="92"/>
      <c r="R79" s="92"/>
      <c r="S79" s="92"/>
      <c r="T79" s="92"/>
    </row>
    <row r="80" spans="1:20" ht="48" thickBot="1">
      <c r="A80" s="77">
        <v>43</v>
      </c>
      <c r="B80" s="8" t="s">
        <v>44</v>
      </c>
      <c r="C80" s="16">
        <f aca="true" t="shared" si="23" ref="C80:C85">D80+E80+F80+G80+H80+I80+J80</f>
        <v>310507.3</v>
      </c>
      <c r="D80" s="19">
        <f t="shared" si="22"/>
        <v>38460.90000000001</v>
      </c>
      <c r="E80" s="19">
        <f>E88+E93+E99+E104+E125+E143+E148+E165</f>
        <v>40874.1</v>
      </c>
      <c r="F80" s="19">
        <f t="shared" si="22"/>
        <v>47277.899999999994</v>
      </c>
      <c r="G80" s="19">
        <f t="shared" si="22"/>
        <v>45973.6</v>
      </c>
      <c r="H80" s="19">
        <f t="shared" si="22"/>
        <v>45973.6</v>
      </c>
      <c r="I80" s="19">
        <f t="shared" si="22"/>
        <v>45973.6</v>
      </c>
      <c r="J80" s="19">
        <f t="shared" si="22"/>
        <v>45973.6</v>
      </c>
      <c r="K80" s="32"/>
      <c r="L80" s="91"/>
      <c r="M80" s="92"/>
      <c r="N80" s="92"/>
      <c r="O80" s="92"/>
      <c r="P80" s="92"/>
      <c r="Q80" s="92"/>
      <c r="R80" s="92"/>
      <c r="S80" s="92"/>
      <c r="T80" s="92"/>
    </row>
    <row r="81" spans="1:20" ht="16.5" thickBot="1">
      <c r="A81" s="77">
        <v>44</v>
      </c>
      <c r="B81" s="8" t="s">
        <v>16</v>
      </c>
      <c r="C81" s="18">
        <f t="shared" si="23"/>
        <v>487795.9000000001</v>
      </c>
      <c r="D81" s="44">
        <f aca="true" t="shared" si="24" ref="D81:J81">D95+D101+D116+D120+D126+D144+D149</f>
        <v>70235.5</v>
      </c>
      <c r="E81" s="19">
        <f>E95+E101+E116+E120+E126+E144+E149+E158+E166</f>
        <v>67562.7</v>
      </c>
      <c r="F81" s="19">
        <f>F95+F101+F116+F120+F126+F144+F149+F158</f>
        <v>61024.899999999994</v>
      </c>
      <c r="G81" s="19">
        <f t="shared" si="24"/>
        <v>72243.20000000001</v>
      </c>
      <c r="H81" s="19">
        <f t="shared" si="24"/>
        <v>72243.20000000001</v>
      </c>
      <c r="I81" s="19">
        <f t="shared" si="24"/>
        <v>72243.20000000001</v>
      </c>
      <c r="J81" s="19">
        <f t="shared" si="24"/>
        <v>72243.20000000001</v>
      </c>
      <c r="K81" s="32"/>
      <c r="L81" s="91"/>
      <c r="M81" s="92"/>
      <c r="N81" s="92"/>
      <c r="O81" s="92"/>
      <c r="P81" s="92"/>
      <c r="Q81" s="92"/>
      <c r="R81" s="92"/>
      <c r="S81" s="92"/>
      <c r="T81" s="92"/>
    </row>
    <row r="82" spans="1:20" ht="16.5" customHeight="1" hidden="1" thickBot="1">
      <c r="A82" s="77"/>
      <c r="B82" s="8" t="s">
        <v>17</v>
      </c>
      <c r="C82" s="18">
        <f t="shared" si="23"/>
        <v>0</v>
      </c>
      <c r="D82" s="44"/>
      <c r="E82" s="19"/>
      <c r="F82" s="19"/>
      <c r="G82" s="19"/>
      <c r="H82" s="19"/>
      <c r="I82" s="19"/>
      <c r="J82" s="19"/>
      <c r="K82" s="32"/>
      <c r="L82" s="91"/>
      <c r="M82" s="92"/>
      <c r="N82" s="92"/>
      <c r="O82" s="92"/>
      <c r="P82" s="92"/>
      <c r="Q82" s="92"/>
      <c r="R82" s="92"/>
      <c r="S82" s="92"/>
      <c r="T82" s="92"/>
    </row>
    <row r="83" spans="1:20" ht="16.5" customHeight="1" hidden="1" thickBot="1">
      <c r="A83" s="77"/>
      <c r="B83" s="8" t="s">
        <v>23</v>
      </c>
      <c r="C83" s="18">
        <f t="shared" si="23"/>
        <v>0</v>
      </c>
      <c r="D83" s="44"/>
      <c r="E83" s="19"/>
      <c r="F83" s="19"/>
      <c r="G83" s="19"/>
      <c r="H83" s="19"/>
      <c r="I83" s="19"/>
      <c r="J83" s="19"/>
      <c r="K83" s="32"/>
      <c r="L83" s="91"/>
      <c r="M83" s="92"/>
      <c r="N83" s="92"/>
      <c r="O83" s="92"/>
      <c r="P83" s="92"/>
      <c r="Q83" s="92"/>
      <c r="R83" s="92"/>
      <c r="S83" s="92"/>
      <c r="T83" s="92"/>
    </row>
    <row r="84" spans="1:20" ht="48" customHeight="1" hidden="1" thickBot="1">
      <c r="A84" s="77"/>
      <c r="B84" s="8" t="s">
        <v>38</v>
      </c>
      <c r="C84" s="18">
        <f t="shared" si="23"/>
        <v>0</v>
      </c>
      <c r="D84" s="44"/>
      <c r="E84" s="19"/>
      <c r="F84" s="19"/>
      <c r="G84" s="19"/>
      <c r="H84" s="19"/>
      <c r="I84" s="19"/>
      <c r="J84" s="19"/>
      <c r="K84" s="32"/>
      <c r="L84" s="91"/>
      <c r="M84" s="92"/>
      <c r="N84" s="92"/>
      <c r="O84" s="92"/>
      <c r="P84" s="92"/>
      <c r="Q84" s="92"/>
      <c r="R84" s="92"/>
      <c r="S84" s="92"/>
      <c r="T84" s="92"/>
    </row>
    <row r="85" spans="1:20" ht="48" thickBot="1">
      <c r="A85" s="77">
        <v>45</v>
      </c>
      <c r="B85" s="8" t="s">
        <v>44</v>
      </c>
      <c r="C85" s="18">
        <f t="shared" si="23"/>
        <v>163867.5</v>
      </c>
      <c r="D85" s="44">
        <f aca="true" t="shared" si="25" ref="D85:J85">D96+D102+D117+D121+D127+E145+E150</f>
        <v>23828.5</v>
      </c>
      <c r="E85" s="19">
        <f t="shared" si="25"/>
        <v>22091.8</v>
      </c>
      <c r="F85" s="19">
        <f t="shared" si="25"/>
        <v>19543.199999999997</v>
      </c>
      <c r="G85" s="19">
        <f t="shared" si="25"/>
        <v>24601</v>
      </c>
      <c r="H85" s="19">
        <f t="shared" si="25"/>
        <v>24601</v>
      </c>
      <c r="I85" s="19">
        <f t="shared" si="25"/>
        <v>24601</v>
      </c>
      <c r="J85" s="19">
        <f t="shared" si="25"/>
        <v>24601</v>
      </c>
      <c r="K85" s="32"/>
      <c r="L85" s="91"/>
      <c r="M85" s="92"/>
      <c r="N85" s="92"/>
      <c r="O85" s="92"/>
      <c r="P85" s="92"/>
      <c r="Q85" s="92"/>
      <c r="R85" s="92"/>
      <c r="S85" s="92"/>
      <c r="T85" s="92"/>
    </row>
    <row r="86" spans="1:20" ht="174" thickBot="1">
      <c r="A86" s="77">
        <v>46</v>
      </c>
      <c r="B86" s="8" t="s">
        <v>41</v>
      </c>
      <c r="C86" s="18">
        <f>C87</f>
        <v>698992.3999999999</v>
      </c>
      <c r="D86" s="18">
        <f aca="true" t="shared" si="26" ref="D86:J86">D87</f>
        <v>87216</v>
      </c>
      <c r="E86" s="18">
        <f t="shared" si="26"/>
        <v>92516</v>
      </c>
      <c r="F86" s="18">
        <f t="shared" si="26"/>
        <v>106892</v>
      </c>
      <c r="G86" s="18">
        <f t="shared" si="26"/>
        <v>103092.1</v>
      </c>
      <c r="H86" s="18">
        <f t="shared" si="26"/>
        <v>103092.1</v>
      </c>
      <c r="I86" s="18">
        <f t="shared" si="26"/>
        <v>103092.1</v>
      </c>
      <c r="J86" s="18">
        <f t="shared" si="26"/>
        <v>103092.1</v>
      </c>
      <c r="K86" s="32" t="s">
        <v>86</v>
      </c>
      <c r="L86" s="91">
        <f>L87+L88</f>
        <v>0</v>
      </c>
      <c r="M86" s="92"/>
      <c r="N86" s="92"/>
      <c r="O86" s="92"/>
      <c r="P86" s="92"/>
      <c r="Q86" s="92"/>
      <c r="R86" s="92"/>
      <c r="S86" s="92"/>
      <c r="T86" s="92"/>
    </row>
    <row r="87" spans="1:32" ht="16.5" thickBot="1">
      <c r="A87" s="77">
        <v>47</v>
      </c>
      <c r="B87" s="8" t="s">
        <v>15</v>
      </c>
      <c r="C87" s="18">
        <f>D87+E87+F87+G87+H87+I87+J87</f>
        <v>698992.3999999999</v>
      </c>
      <c r="D87" s="19">
        <f>D88+49818.4+1098.3+U87+836+714.7</f>
        <v>87216</v>
      </c>
      <c r="E87" s="19">
        <f>88154.6+V87+AB87+AD87</f>
        <v>92516</v>
      </c>
      <c r="F87" s="19">
        <f>107036.6+AF87</f>
        <v>106892</v>
      </c>
      <c r="G87" s="19">
        <v>103092.1</v>
      </c>
      <c r="H87" s="19">
        <f aca="true" t="shared" si="27" ref="H87:J88">G87</f>
        <v>103092.1</v>
      </c>
      <c r="I87" s="19">
        <f t="shared" si="27"/>
        <v>103092.1</v>
      </c>
      <c r="J87" s="19">
        <f t="shared" si="27"/>
        <v>103092.1</v>
      </c>
      <c r="K87" s="32"/>
      <c r="L87" s="109">
        <f>255504.89</f>
        <v>255504.89</v>
      </c>
      <c r="M87" s="110"/>
      <c r="N87" s="110"/>
      <c r="O87" s="110"/>
      <c r="P87" s="110"/>
      <c r="Q87" s="110"/>
      <c r="R87" s="110"/>
      <c r="S87" s="110"/>
      <c r="T87" s="110"/>
      <c r="U87">
        <v>255.5</v>
      </c>
      <c r="V87">
        <v>-68.6</v>
      </c>
      <c r="AB87" s="41">
        <v>-2252</v>
      </c>
      <c r="AC87">
        <v>0</v>
      </c>
      <c r="AD87">
        <v>6682</v>
      </c>
      <c r="AF87">
        <v>-144.6</v>
      </c>
    </row>
    <row r="88" spans="1:32" ht="48" thickBot="1">
      <c r="A88" s="77">
        <v>48</v>
      </c>
      <c r="B88" s="8" t="s">
        <v>44</v>
      </c>
      <c r="C88" s="18">
        <f>D88+E88+F88+G88+H88+I88+J88</f>
        <v>282033.5</v>
      </c>
      <c r="D88" s="19">
        <f>37052.3+U88-2303.7</f>
        <v>34493.100000000006</v>
      </c>
      <c r="E88" s="19">
        <f>35817.8+V88+AB88+AC88+AD88+AE88</f>
        <v>36897.600000000006</v>
      </c>
      <c r="F88" s="19">
        <f>43188.2+AF88</f>
        <v>43043.6</v>
      </c>
      <c r="G88" s="19">
        <v>41899.8</v>
      </c>
      <c r="H88" s="19">
        <f t="shared" si="27"/>
        <v>41899.8</v>
      </c>
      <c r="I88" s="19">
        <f t="shared" si="27"/>
        <v>41899.8</v>
      </c>
      <c r="J88" s="19">
        <f t="shared" si="27"/>
        <v>41899.8</v>
      </c>
      <c r="K88" s="32"/>
      <c r="L88" s="109">
        <f>-255504.89</f>
        <v>-255504.89</v>
      </c>
      <c r="M88" s="110"/>
      <c r="N88" s="110"/>
      <c r="O88" s="110"/>
      <c r="P88" s="110"/>
      <c r="Q88" s="110"/>
      <c r="R88" s="110"/>
      <c r="S88" s="110"/>
      <c r="T88" s="110"/>
      <c r="U88">
        <v>-255.5</v>
      </c>
      <c r="V88">
        <v>-68.6</v>
      </c>
      <c r="AB88" s="41">
        <v>-1323.2</v>
      </c>
      <c r="AC88">
        <v>393.4</v>
      </c>
      <c r="AD88">
        <v>683.1</v>
      </c>
      <c r="AE88" s="41">
        <v>1395.1</v>
      </c>
      <c r="AF88" s="41">
        <v>-144.6</v>
      </c>
    </row>
    <row r="89" spans="1:20" ht="16.5" customHeight="1" hidden="1" thickBot="1">
      <c r="A89" s="77"/>
      <c r="B89" s="8" t="s">
        <v>39</v>
      </c>
      <c r="C89" s="16"/>
      <c r="D89" s="13"/>
      <c r="E89" s="13"/>
      <c r="F89" s="13"/>
      <c r="G89" s="13"/>
      <c r="H89" s="13"/>
      <c r="I89" s="13"/>
      <c r="J89" s="13"/>
      <c r="K89" s="32"/>
      <c r="L89" s="91"/>
      <c r="M89" s="93"/>
      <c r="N89" s="93"/>
      <c r="O89" s="93"/>
      <c r="P89" s="93"/>
      <c r="Q89" s="93"/>
      <c r="R89" s="93"/>
      <c r="S89" s="93"/>
      <c r="T89" s="93"/>
    </row>
    <row r="90" spans="1:20" ht="48" customHeight="1" hidden="1" thickBot="1">
      <c r="A90" s="77"/>
      <c r="B90" s="8" t="s">
        <v>38</v>
      </c>
      <c r="C90" s="16"/>
      <c r="D90" s="13"/>
      <c r="E90" s="13"/>
      <c r="F90" s="13"/>
      <c r="G90" s="13"/>
      <c r="H90" s="13"/>
      <c r="I90" s="13"/>
      <c r="J90" s="13"/>
      <c r="K90" s="32"/>
      <c r="L90" s="91"/>
      <c r="M90" s="92"/>
      <c r="N90" s="92"/>
      <c r="O90" s="92"/>
      <c r="P90" s="92"/>
      <c r="Q90" s="92"/>
      <c r="R90" s="92"/>
      <c r="S90" s="92"/>
      <c r="T90" s="92"/>
    </row>
    <row r="91" spans="1:20" ht="201.75" customHeight="1" thickBot="1">
      <c r="A91" s="77">
        <v>49</v>
      </c>
      <c r="B91" s="31" t="s">
        <v>42</v>
      </c>
      <c r="C91" s="16">
        <f>C92</f>
        <v>14425.599999999999</v>
      </c>
      <c r="D91" s="16">
        <f aca="true" t="shared" si="28" ref="D91:J91">D92</f>
        <v>1810.0000000000002</v>
      </c>
      <c r="E91" s="16">
        <f t="shared" si="28"/>
        <v>1903</v>
      </c>
      <c r="F91" s="16">
        <f t="shared" si="28"/>
        <v>2133</v>
      </c>
      <c r="G91" s="16">
        <f t="shared" si="28"/>
        <v>2144.9</v>
      </c>
      <c r="H91" s="16">
        <f t="shared" si="28"/>
        <v>2144.9</v>
      </c>
      <c r="I91" s="16">
        <f t="shared" si="28"/>
        <v>2144.9</v>
      </c>
      <c r="J91" s="16">
        <f t="shared" si="28"/>
        <v>2144.9</v>
      </c>
      <c r="K91" s="32" t="s">
        <v>87</v>
      </c>
      <c r="L91" s="91">
        <f>L92+L93</f>
        <v>0</v>
      </c>
      <c r="M91" s="92"/>
      <c r="N91" s="92"/>
      <c r="O91" s="92"/>
      <c r="P91" s="92"/>
      <c r="Q91" s="92"/>
      <c r="R91" s="92"/>
      <c r="S91" s="92"/>
      <c r="T91" s="92"/>
    </row>
    <row r="92" spans="1:32" ht="16.5" thickBot="1">
      <c r="A92" s="77">
        <v>50</v>
      </c>
      <c r="B92" s="8" t="s">
        <v>15</v>
      </c>
      <c r="C92" s="16">
        <f>D92+E92+F92+G92+H92+I92+J92</f>
        <v>14425.599999999999</v>
      </c>
      <c r="D92" s="13">
        <f>D93+154.86+631.9+158.16+U92-158.2+40.18</f>
        <v>1810.0000000000002</v>
      </c>
      <c r="E92" s="13">
        <f>1834.4+V92</f>
        <v>1903</v>
      </c>
      <c r="F92" s="13">
        <f>1988.4+AF92</f>
        <v>2133</v>
      </c>
      <c r="G92" s="13">
        <v>2144.9</v>
      </c>
      <c r="H92" s="13">
        <f aca="true" t="shared" si="29" ref="H92:J93">G92</f>
        <v>2144.9</v>
      </c>
      <c r="I92" s="13">
        <f t="shared" si="29"/>
        <v>2144.9</v>
      </c>
      <c r="J92" s="13">
        <f t="shared" si="29"/>
        <v>2144.9</v>
      </c>
      <c r="K92" s="32"/>
      <c r="L92" s="109">
        <v>10066.98</v>
      </c>
      <c r="M92" s="110"/>
      <c r="N92" s="110"/>
      <c r="O92" s="110"/>
      <c r="P92" s="110"/>
      <c r="Q92" s="110"/>
      <c r="R92" s="110"/>
      <c r="S92" s="110"/>
      <c r="T92" s="110"/>
      <c r="U92">
        <v>10.1</v>
      </c>
      <c r="V92">
        <v>68.6</v>
      </c>
      <c r="AF92">
        <v>144.6</v>
      </c>
    </row>
    <row r="93" spans="1:32" ht="48" thickBot="1">
      <c r="A93" s="77">
        <v>51</v>
      </c>
      <c r="B93" s="8" t="s">
        <v>44</v>
      </c>
      <c r="C93" s="16">
        <f>D93+E93+F93+G93+H93+I93+J93</f>
        <v>7784.499999999999</v>
      </c>
      <c r="D93" s="13">
        <f>865.08+U93+158.2-40.18</f>
        <v>973.0000000000001</v>
      </c>
      <c r="E93" s="13">
        <f>994.8+AE93</f>
        <v>1020.0999999999999</v>
      </c>
      <c r="F93" s="13">
        <f>1089.3+AF93</f>
        <v>1138.6</v>
      </c>
      <c r="G93" s="13">
        <v>1163.2</v>
      </c>
      <c r="H93" s="13">
        <f t="shared" si="29"/>
        <v>1163.2</v>
      </c>
      <c r="I93" s="13">
        <f t="shared" si="29"/>
        <v>1163.2</v>
      </c>
      <c r="J93" s="13">
        <f t="shared" si="29"/>
        <v>1163.2</v>
      </c>
      <c r="K93" s="32"/>
      <c r="L93" s="109">
        <f>-10066.98</f>
        <v>-10066.98</v>
      </c>
      <c r="M93" s="110"/>
      <c r="N93" s="110"/>
      <c r="O93" s="110"/>
      <c r="P93" s="110"/>
      <c r="Q93" s="110"/>
      <c r="R93" s="110"/>
      <c r="S93" s="110"/>
      <c r="T93" s="110"/>
      <c r="U93">
        <v>-10.1</v>
      </c>
      <c r="AE93">
        <v>25.3</v>
      </c>
      <c r="AF93">
        <v>49.3</v>
      </c>
    </row>
    <row r="94" spans="1:21" ht="159.75" customHeight="1" thickBot="1">
      <c r="A94" s="77">
        <v>52</v>
      </c>
      <c r="B94" s="28" t="s">
        <v>67</v>
      </c>
      <c r="C94" s="16">
        <f aca="true" t="shared" si="30" ref="C94:J94">C95</f>
        <v>466816.4</v>
      </c>
      <c r="D94" s="16">
        <f t="shared" si="30"/>
        <v>64073.7</v>
      </c>
      <c r="E94" s="16">
        <f t="shared" si="30"/>
        <v>64775</v>
      </c>
      <c r="F94" s="16">
        <f t="shared" si="30"/>
        <v>57385.7</v>
      </c>
      <c r="G94" s="16">
        <f t="shared" si="30"/>
        <v>70145.5</v>
      </c>
      <c r="H94" s="16">
        <f t="shared" si="30"/>
        <v>70145.5</v>
      </c>
      <c r="I94" s="16">
        <f t="shared" si="30"/>
        <v>70145.5</v>
      </c>
      <c r="J94" s="16">
        <f t="shared" si="30"/>
        <v>70145.5</v>
      </c>
      <c r="K94" s="32" t="s">
        <v>87</v>
      </c>
      <c r="L94" s="111">
        <f>L95+L96</f>
        <v>359695.36000000004</v>
      </c>
      <c r="M94" s="112"/>
      <c r="N94" s="112"/>
      <c r="O94" s="112"/>
      <c r="P94" s="112"/>
      <c r="Q94" s="112"/>
      <c r="R94" s="112"/>
      <c r="S94" s="112"/>
      <c r="T94" s="112"/>
      <c r="U94" s="39">
        <f>U95+U96</f>
        <v>359.7</v>
      </c>
    </row>
    <row r="95" spans="1:32" ht="16.5" thickBot="1">
      <c r="A95" s="77">
        <v>53</v>
      </c>
      <c r="B95" s="8" t="s">
        <v>16</v>
      </c>
      <c r="C95" s="16">
        <f>D95+E95+F95+G95+H95+I95+J95</f>
        <v>466816.4</v>
      </c>
      <c r="D95" s="13">
        <f>D96+41984-200+828.5+U95-313.1+56.7</f>
        <v>64073.7</v>
      </c>
      <c r="E95" s="13">
        <f>62711.4+V95+Y95+AB95+AC95+AD95+AE95</f>
        <v>64775</v>
      </c>
      <c r="F95" s="13">
        <f>57033+AF95</f>
        <v>57385.7</v>
      </c>
      <c r="G95" s="13">
        <v>70145.5</v>
      </c>
      <c r="H95" s="13">
        <f aca="true" t="shared" si="31" ref="H95:J96">G95</f>
        <v>70145.5</v>
      </c>
      <c r="I95" s="13">
        <f t="shared" si="31"/>
        <v>70145.5</v>
      </c>
      <c r="J95" s="13">
        <f t="shared" si="31"/>
        <v>70145.5</v>
      </c>
      <c r="K95" s="32"/>
      <c r="L95" s="109">
        <f>480960-275073.9+218271.6+115249.3+196480.66+20017-280960</f>
        <v>474944.66000000003</v>
      </c>
      <c r="M95" s="110"/>
      <c r="N95" s="110"/>
      <c r="O95" s="110"/>
      <c r="P95" s="110"/>
      <c r="Q95" s="110"/>
      <c r="R95" s="110"/>
      <c r="S95" s="110"/>
      <c r="T95" s="110"/>
      <c r="U95">
        <v>474.9</v>
      </c>
      <c r="V95">
        <v>896.7</v>
      </c>
      <c r="Y95" s="49">
        <v>14.4</v>
      </c>
      <c r="AB95" s="41">
        <f>392.7+308.5+178.2+11.5+54.5</f>
        <v>945.4000000000001</v>
      </c>
      <c r="AC95">
        <v>286.7</v>
      </c>
      <c r="AD95">
        <v>-122.6</v>
      </c>
      <c r="AE95">
        <v>43</v>
      </c>
      <c r="AF95">
        <v>352.7</v>
      </c>
    </row>
    <row r="96" spans="1:32" ht="48" thickBot="1">
      <c r="A96" s="77">
        <v>54</v>
      </c>
      <c r="B96" s="8" t="s">
        <v>38</v>
      </c>
      <c r="C96" s="16">
        <f>D96+E96+F96+G96+H96+I96+J96</f>
        <v>155649.3</v>
      </c>
      <c r="D96" s="13">
        <f>21927+U96-569.1</f>
        <v>21242.7</v>
      </c>
      <c r="E96" s="13">
        <f>21178.2+V96+AB96+AC96+AD96</f>
        <v>21785.699999999997</v>
      </c>
      <c r="F96" s="13">
        <f>18893.1+AF96</f>
        <v>19224.899999999998</v>
      </c>
      <c r="G96" s="13">
        <v>23349</v>
      </c>
      <c r="H96" s="13">
        <f t="shared" si="31"/>
        <v>23349</v>
      </c>
      <c r="I96" s="13">
        <f t="shared" si="31"/>
        <v>23349</v>
      </c>
      <c r="J96" s="13">
        <f t="shared" si="31"/>
        <v>23349</v>
      </c>
      <c r="K96" s="32"/>
      <c r="L96" s="109">
        <f>-115249.3</f>
        <v>-115249.3</v>
      </c>
      <c r="M96" s="110"/>
      <c r="N96" s="110"/>
      <c r="O96" s="110"/>
      <c r="P96" s="110"/>
      <c r="Q96" s="110"/>
      <c r="R96" s="110"/>
      <c r="S96" s="110"/>
      <c r="T96" s="110"/>
      <c r="U96">
        <v>-115.2</v>
      </c>
      <c r="V96">
        <v>57.6</v>
      </c>
      <c r="AB96" s="41">
        <f>308.5</f>
        <v>308.5</v>
      </c>
      <c r="AC96">
        <v>30.8</v>
      </c>
      <c r="AD96">
        <v>210.6</v>
      </c>
      <c r="AF96">
        <v>331.8</v>
      </c>
    </row>
    <row r="97" spans="1:20" ht="122.25" customHeight="1" thickBot="1">
      <c r="A97" s="77">
        <v>55</v>
      </c>
      <c r="B97" s="21" t="s">
        <v>48</v>
      </c>
      <c r="C97" s="16">
        <f>C98</f>
        <v>35283</v>
      </c>
      <c r="D97" s="25">
        <f aca="true" t="shared" si="32" ref="D97:J97">D98</f>
        <v>4835</v>
      </c>
      <c r="E97" s="16">
        <f t="shared" si="32"/>
        <v>4714</v>
      </c>
      <c r="F97" s="16">
        <f t="shared" si="32"/>
        <v>5726</v>
      </c>
      <c r="G97" s="16">
        <f t="shared" si="32"/>
        <v>5002</v>
      </c>
      <c r="H97" s="16">
        <f t="shared" si="32"/>
        <v>5002</v>
      </c>
      <c r="I97" s="16">
        <f t="shared" si="32"/>
        <v>5002</v>
      </c>
      <c r="J97" s="16">
        <f t="shared" si="32"/>
        <v>5002</v>
      </c>
      <c r="K97" s="32">
        <v>25.26</v>
      </c>
      <c r="L97" s="91"/>
      <c r="M97" s="92"/>
      <c r="N97" s="92"/>
      <c r="O97" s="92"/>
      <c r="P97" s="92"/>
      <c r="Q97" s="92"/>
      <c r="R97" s="92"/>
      <c r="S97" s="92"/>
      <c r="T97" s="92"/>
    </row>
    <row r="98" spans="1:28" ht="16.5" thickBot="1">
      <c r="A98" s="77">
        <v>56</v>
      </c>
      <c r="B98" s="8" t="s">
        <v>15</v>
      </c>
      <c r="C98" s="16">
        <f>D98+E98+F98+G98+H98+I98+J98</f>
        <v>35283</v>
      </c>
      <c r="D98" s="13">
        <f>4749+165-113+34</f>
        <v>4835</v>
      </c>
      <c r="E98" s="13">
        <f>4589+AB98</f>
        <v>4714</v>
      </c>
      <c r="F98" s="13">
        <v>5726</v>
      </c>
      <c r="G98" s="13">
        <v>5002</v>
      </c>
      <c r="H98" s="13">
        <f aca="true" t="shared" si="33" ref="H98:J99">G98</f>
        <v>5002</v>
      </c>
      <c r="I98" s="13">
        <f t="shared" si="33"/>
        <v>5002</v>
      </c>
      <c r="J98" s="13">
        <f t="shared" si="33"/>
        <v>5002</v>
      </c>
      <c r="K98" s="32"/>
      <c r="L98" s="91"/>
      <c r="M98" s="92"/>
      <c r="N98" s="92"/>
      <c r="O98" s="92"/>
      <c r="P98" s="92"/>
      <c r="Q98" s="92"/>
      <c r="R98" s="92"/>
      <c r="S98" s="92"/>
      <c r="T98" s="92"/>
      <c r="AB98" s="41">
        <v>125</v>
      </c>
    </row>
    <row r="99" spans="1:32" ht="48" thickBot="1">
      <c r="A99" s="77">
        <v>57</v>
      </c>
      <c r="B99" s="8" t="s">
        <v>44</v>
      </c>
      <c r="C99" s="16">
        <f>D99+E99+F99+G99+H99+I99+J99</f>
        <v>20084.6</v>
      </c>
      <c r="D99" s="13">
        <f>2796.3-107</f>
        <v>2689.3</v>
      </c>
      <c r="E99" s="13">
        <f>2670+AE99</f>
        <v>2657.2</v>
      </c>
      <c r="F99" s="13">
        <f>2399+AF99</f>
        <v>3095.7</v>
      </c>
      <c r="G99" s="13">
        <v>2910.6</v>
      </c>
      <c r="H99" s="13">
        <f t="shared" si="33"/>
        <v>2910.6</v>
      </c>
      <c r="I99" s="13">
        <f t="shared" si="33"/>
        <v>2910.6</v>
      </c>
      <c r="J99" s="13">
        <f t="shared" si="33"/>
        <v>2910.6</v>
      </c>
      <c r="K99" s="32"/>
      <c r="L99" s="91"/>
      <c r="M99" s="92"/>
      <c r="N99" s="92"/>
      <c r="O99" s="92"/>
      <c r="P99" s="92"/>
      <c r="Q99" s="92"/>
      <c r="R99" s="92"/>
      <c r="S99" s="92"/>
      <c r="T99" s="92"/>
      <c r="AE99">
        <v>-12.8</v>
      </c>
      <c r="AF99">
        <v>696.7</v>
      </c>
    </row>
    <row r="100" spans="1:20" ht="236.25" customHeight="1" thickBot="1">
      <c r="A100" s="77">
        <v>58</v>
      </c>
      <c r="B100" s="8" t="s">
        <v>61</v>
      </c>
      <c r="C100" s="16">
        <f>C101+C103</f>
        <v>8691.400000000001</v>
      </c>
      <c r="D100" s="16">
        <f aca="true" t="shared" si="34" ref="D100:J100">D101+D103</f>
        <v>2233.7</v>
      </c>
      <c r="E100" s="16">
        <f t="shared" si="34"/>
        <v>993.8</v>
      </c>
      <c r="F100" s="16">
        <f t="shared" si="34"/>
        <v>1411.5</v>
      </c>
      <c r="G100" s="16">
        <f t="shared" si="34"/>
        <v>1013.1</v>
      </c>
      <c r="H100" s="16">
        <f t="shared" si="34"/>
        <v>1013.1</v>
      </c>
      <c r="I100" s="16">
        <f t="shared" si="34"/>
        <v>1013.1</v>
      </c>
      <c r="J100" s="16">
        <f t="shared" si="34"/>
        <v>1013.1</v>
      </c>
      <c r="K100" s="32">
        <v>16.21</v>
      </c>
      <c r="L100" s="91"/>
      <c r="M100" s="92"/>
      <c r="N100" s="92"/>
      <c r="O100" s="92"/>
      <c r="P100" s="92"/>
      <c r="Q100" s="92"/>
      <c r="R100" s="92"/>
      <c r="S100" s="92"/>
      <c r="T100" s="92"/>
    </row>
    <row r="101" spans="1:20" ht="16.5" thickBot="1">
      <c r="A101" s="77">
        <v>59</v>
      </c>
      <c r="B101" s="8" t="s">
        <v>24</v>
      </c>
      <c r="C101" s="16">
        <f>D101+E101+F101+G101+H101+I101+J101</f>
        <v>7941.4000000000015</v>
      </c>
      <c r="D101" s="13">
        <f>D106+D111</f>
        <v>1483.6999999999998</v>
      </c>
      <c r="E101" s="13">
        <f aca="true" t="shared" si="35" ref="E101:J102">E111+E106</f>
        <v>993.8</v>
      </c>
      <c r="F101" s="13">
        <f t="shared" si="35"/>
        <v>1411.5</v>
      </c>
      <c r="G101" s="13">
        <f t="shared" si="35"/>
        <v>1013.1</v>
      </c>
      <c r="H101" s="13">
        <f t="shared" si="35"/>
        <v>1013.1</v>
      </c>
      <c r="I101" s="13">
        <f t="shared" si="35"/>
        <v>1013.1</v>
      </c>
      <c r="J101" s="13">
        <f t="shared" si="35"/>
        <v>1013.1</v>
      </c>
      <c r="K101" s="32"/>
      <c r="L101" s="91"/>
      <c r="M101" s="92"/>
      <c r="N101" s="92"/>
      <c r="O101" s="92"/>
      <c r="P101" s="92"/>
      <c r="Q101" s="92"/>
      <c r="R101" s="92"/>
      <c r="S101" s="92"/>
      <c r="T101" s="92"/>
    </row>
    <row r="102" spans="1:20" ht="48" thickBot="1">
      <c r="A102" s="77">
        <v>60</v>
      </c>
      <c r="B102" s="8" t="s">
        <v>44</v>
      </c>
      <c r="C102" s="16">
        <f>D102+E102+F102+G102+H102+I102+J102</f>
        <v>2154.6</v>
      </c>
      <c r="D102" s="13">
        <f>D107+D112</f>
        <v>299.4</v>
      </c>
      <c r="E102" s="13">
        <f t="shared" si="35"/>
        <v>236.9</v>
      </c>
      <c r="F102" s="13">
        <f t="shared" si="35"/>
        <v>318.3</v>
      </c>
      <c r="G102" s="13">
        <f t="shared" si="35"/>
        <v>325</v>
      </c>
      <c r="H102" s="13">
        <f t="shared" si="35"/>
        <v>325</v>
      </c>
      <c r="I102" s="13">
        <f t="shared" si="35"/>
        <v>325</v>
      </c>
      <c r="J102" s="13">
        <f t="shared" si="35"/>
        <v>325</v>
      </c>
      <c r="K102" s="32"/>
      <c r="L102" s="91"/>
      <c r="M102" s="92"/>
      <c r="N102" s="92"/>
      <c r="O102" s="92"/>
      <c r="P102" s="92"/>
      <c r="Q102" s="92"/>
      <c r="R102" s="92"/>
      <c r="S102" s="92"/>
      <c r="T102" s="92"/>
    </row>
    <row r="103" spans="1:20" ht="16.5" thickBot="1">
      <c r="A103" s="77">
        <v>61</v>
      </c>
      <c r="B103" s="8" t="s">
        <v>40</v>
      </c>
      <c r="C103" s="16">
        <f>D103+E103+F103+G103+H103+I103+J103</f>
        <v>750</v>
      </c>
      <c r="D103" s="24">
        <v>750</v>
      </c>
      <c r="E103" s="16">
        <f aca="true" t="shared" si="36" ref="E103:J104">F103+G103+H103+I103+J103+K103+L103</f>
        <v>0</v>
      </c>
      <c r="F103" s="16">
        <f t="shared" si="36"/>
        <v>0</v>
      </c>
      <c r="G103" s="16">
        <f t="shared" si="36"/>
        <v>0</v>
      </c>
      <c r="H103" s="16">
        <f t="shared" si="36"/>
        <v>0</v>
      </c>
      <c r="I103" s="16">
        <f t="shared" si="36"/>
        <v>0</v>
      </c>
      <c r="J103" s="16">
        <f t="shared" si="36"/>
        <v>0</v>
      </c>
      <c r="K103" s="32"/>
      <c r="L103" s="91"/>
      <c r="M103" s="92"/>
      <c r="N103" s="92"/>
      <c r="O103" s="92"/>
      <c r="P103" s="92"/>
      <c r="Q103" s="92"/>
      <c r="R103" s="92"/>
      <c r="S103" s="92"/>
      <c r="T103" s="92"/>
    </row>
    <row r="104" spans="1:20" ht="48" thickBot="1">
      <c r="A104" s="77">
        <v>62</v>
      </c>
      <c r="B104" s="8" t="s">
        <v>44</v>
      </c>
      <c r="C104" s="16">
        <f>D104+E104+F104+G104+H104+I104+J104</f>
        <v>0</v>
      </c>
      <c r="D104" s="16">
        <f>E104+F104+G104+H104+I104+J104+K104</f>
        <v>0</v>
      </c>
      <c r="E104" s="16">
        <f t="shared" si="36"/>
        <v>0</v>
      </c>
      <c r="F104" s="16">
        <f t="shared" si="36"/>
        <v>0</v>
      </c>
      <c r="G104" s="16">
        <f t="shared" si="36"/>
        <v>0</v>
      </c>
      <c r="H104" s="16">
        <f t="shared" si="36"/>
        <v>0</v>
      </c>
      <c r="I104" s="16">
        <f t="shared" si="36"/>
        <v>0</v>
      </c>
      <c r="J104" s="16">
        <f t="shared" si="36"/>
        <v>0</v>
      </c>
      <c r="K104" s="32"/>
      <c r="L104" s="91"/>
      <c r="M104" s="92"/>
      <c r="N104" s="92"/>
      <c r="O104" s="92"/>
      <c r="P104" s="92"/>
      <c r="Q104" s="92"/>
      <c r="R104" s="92"/>
      <c r="S104" s="92"/>
      <c r="T104" s="92"/>
    </row>
    <row r="105" spans="1:25" s="41" customFormat="1" ht="111" customHeight="1" thickBot="1">
      <c r="A105" s="80">
        <v>63</v>
      </c>
      <c r="B105" s="28" t="s">
        <v>76</v>
      </c>
      <c r="C105" s="25">
        <f>C106+C108</f>
        <v>7210.9000000000015</v>
      </c>
      <c r="D105" s="25">
        <f aca="true" t="shared" si="37" ref="D105:J105">D106+D108</f>
        <v>753.1999999999999</v>
      </c>
      <c r="E105" s="25">
        <f t="shared" si="37"/>
        <v>993.8</v>
      </c>
      <c r="F105" s="25">
        <f t="shared" si="37"/>
        <v>1411.5</v>
      </c>
      <c r="G105" s="25">
        <f t="shared" si="37"/>
        <v>1013.1</v>
      </c>
      <c r="H105" s="25">
        <f t="shared" si="37"/>
        <v>1013.1</v>
      </c>
      <c r="I105" s="25">
        <f t="shared" si="37"/>
        <v>1013.1</v>
      </c>
      <c r="J105" s="25">
        <f t="shared" si="37"/>
        <v>1013.1</v>
      </c>
      <c r="K105" s="40">
        <v>16.21</v>
      </c>
      <c r="L105" s="87">
        <f>L106</f>
        <v>-20017</v>
      </c>
      <c r="M105" s="88"/>
      <c r="N105" s="88"/>
      <c r="O105" s="88"/>
      <c r="P105" s="88"/>
      <c r="Q105" s="88"/>
      <c r="R105" s="88"/>
      <c r="S105" s="88"/>
      <c r="T105" s="88"/>
      <c r="U105" s="41">
        <v>-20</v>
      </c>
      <c r="Y105" s="49"/>
    </row>
    <row r="106" spans="1:31" s="41" customFormat="1" ht="16.5" thickBot="1">
      <c r="A106" s="80">
        <v>64</v>
      </c>
      <c r="B106" s="21" t="s">
        <v>24</v>
      </c>
      <c r="C106" s="25">
        <f>D106+E106+F106+G106+H106+I106+J106</f>
        <v>7210.9000000000015</v>
      </c>
      <c r="D106" s="24">
        <f>730.4+U106-40+82.9-0.1</f>
        <v>753.1999999999999</v>
      </c>
      <c r="E106" s="24">
        <f>969.6+Y106+AB106+AC106+AD106+AE106</f>
        <v>993.8</v>
      </c>
      <c r="F106" s="24">
        <v>1411.5</v>
      </c>
      <c r="G106" s="24">
        <v>1013.1</v>
      </c>
      <c r="H106" s="24">
        <f aca="true" t="shared" si="38" ref="H106:J107">G106</f>
        <v>1013.1</v>
      </c>
      <c r="I106" s="24">
        <f t="shared" si="38"/>
        <v>1013.1</v>
      </c>
      <c r="J106" s="24">
        <f t="shared" si="38"/>
        <v>1013.1</v>
      </c>
      <c r="K106" s="40"/>
      <c r="L106" s="81">
        <f>-20017</f>
        <v>-20017</v>
      </c>
      <c r="M106" s="82"/>
      <c r="N106" s="82"/>
      <c r="O106" s="82"/>
      <c r="P106" s="82"/>
      <c r="Q106" s="82"/>
      <c r="R106" s="82"/>
      <c r="S106" s="82"/>
      <c r="T106" s="82"/>
      <c r="U106" s="41">
        <v>-20</v>
      </c>
      <c r="Y106" s="49">
        <v>-14.4</v>
      </c>
      <c r="AB106" s="41">
        <v>153.6</v>
      </c>
      <c r="AC106" s="41">
        <v>-81</v>
      </c>
      <c r="AD106" s="41">
        <v>-48.1</v>
      </c>
      <c r="AE106" s="41">
        <v>14.1</v>
      </c>
    </row>
    <row r="107" spans="1:30" s="41" customFormat="1" ht="48" thickBot="1">
      <c r="A107" s="80">
        <v>65</v>
      </c>
      <c r="B107" s="21" t="s">
        <v>44</v>
      </c>
      <c r="C107" s="25">
        <f>D107+E107+F107+G107+H107+I107+J107</f>
        <v>2154.6</v>
      </c>
      <c r="D107" s="24">
        <f>242.5+56.9</f>
        <v>299.4</v>
      </c>
      <c r="E107" s="24">
        <f>294.8+AC107+AD107</f>
        <v>236.9</v>
      </c>
      <c r="F107" s="24">
        <v>318.3</v>
      </c>
      <c r="G107" s="24">
        <v>325</v>
      </c>
      <c r="H107" s="24">
        <f t="shared" si="38"/>
        <v>325</v>
      </c>
      <c r="I107" s="24">
        <f t="shared" si="38"/>
        <v>325</v>
      </c>
      <c r="J107" s="24">
        <f t="shared" si="38"/>
        <v>325</v>
      </c>
      <c r="K107" s="40"/>
      <c r="L107" s="87"/>
      <c r="M107" s="88"/>
      <c r="N107" s="88"/>
      <c r="O107" s="88"/>
      <c r="P107" s="88"/>
      <c r="Q107" s="88"/>
      <c r="R107" s="88"/>
      <c r="S107" s="88"/>
      <c r="T107" s="88"/>
      <c r="Y107" s="49"/>
      <c r="AC107" s="41">
        <v>-30.8</v>
      </c>
      <c r="AD107" s="41">
        <v>-27.1</v>
      </c>
    </row>
    <row r="108" spans="1:25" s="41" customFormat="1" ht="16.5" thickBot="1">
      <c r="A108" s="80">
        <v>66</v>
      </c>
      <c r="B108" s="21" t="s">
        <v>40</v>
      </c>
      <c r="C108" s="25">
        <f>D108+E108+F108+G108+H108+I108+J108</f>
        <v>0</v>
      </c>
      <c r="D108" s="25">
        <f aca="true" t="shared" si="39" ref="D108:J109">E108+F108+G108+H108+I108+J108+K108</f>
        <v>0</v>
      </c>
      <c r="E108" s="25">
        <f t="shared" si="39"/>
        <v>0</v>
      </c>
      <c r="F108" s="25">
        <f t="shared" si="39"/>
        <v>0</v>
      </c>
      <c r="G108" s="25">
        <f t="shared" si="39"/>
        <v>0</v>
      </c>
      <c r="H108" s="25">
        <f t="shared" si="39"/>
        <v>0</v>
      </c>
      <c r="I108" s="25">
        <f t="shared" si="39"/>
        <v>0</v>
      </c>
      <c r="J108" s="25">
        <f t="shared" si="39"/>
        <v>0</v>
      </c>
      <c r="K108" s="40"/>
      <c r="L108" s="87"/>
      <c r="M108" s="88"/>
      <c r="N108" s="88"/>
      <c r="O108" s="88"/>
      <c r="P108" s="88"/>
      <c r="Q108" s="88"/>
      <c r="R108" s="88"/>
      <c r="S108" s="88"/>
      <c r="T108" s="88"/>
      <c r="Y108" s="49"/>
    </row>
    <row r="109" spans="1:25" s="41" customFormat="1" ht="48" thickBot="1">
      <c r="A109" s="80">
        <v>67</v>
      </c>
      <c r="B109" s="21" t="s">
        <v>44</v>
      </c>
      <c r="C109" s="25">
        <f>D109+E109+F109+G109+H109+I109+J109</f>
        <v>0</v>
      </c>
      <c r="D109" s="25">
        <f t="shared" si="39"/>
        <v>0</v>
      </c>
      <c r="E109" s="25">
        <f t="shared" si="39"/>
        <v>0</v>
      </c>
      <c r="F109" s="25">
        <f t="shared" si="39"/>
        <v>0</v>
      </c>
      <c r="G109" s="25">
        <f t="shared" si="39"/>
        <v>0</v>
      </c>
      <c r="H109" s="25">
        <f t="shared" si="39"/>
        <v>0</v>
      </c>
      <c r="I109" s="25">
        <f t="shared" si="39"/>
        <v>0</v>
      </c>
      <c r="J109" s="25">
        <f t="shared" si="39"/>
        <v>0</v>
      </c>
      <c r="K109" s="40"/>
      <c r="L109" s="87"/>
      <c r="M109" s="88"/>
      <c r="N109" s="88"/>
      <c r="O109" s="88"/>
      <c r="P109" s="88"/>
      <c r="Q109" s="88"/>
      <c r="R109" s="88"/>
      <c r="S109" s="88"/>
      <c r="T109" s="88"/>
      <c r="Y109" s="49"/>
    </row>
    <row r="110" spans="1:25" s="41" customFormat="1" ht="190.5" customHeight="1" thickBot="1">
      <c r="A110" s="80">
        <v>68</v>
      </c>
      <c r="B110" s="28" t="s">
        <v>80</v>
      </c>
      <c r="C110" s="25">
        <f>C111+C113</f>
        <v>1480.5</v>
      </c>
      <c r="D110" s="25">
        <f aca="true" t="shared" si="40" ref="D110:J110">D111+D113</f>
        <v>1480.5</v>
      </c>
      <c r="E110" s="25">
        <f t="shared" si="40"/>
        <v>0</v>
      </c>
      <c r="F110" s="25">
        <f t="shared" si="40"/>
        <v>0</v>
      </c>
      <c r="G110" s="25">
        <f t="shared" si="40"/>
        <v>0</v>
      </c>
      <c r="H110" s="25">
        <f t="shared" si="40"/>
        <v>0</v>
      </c>
      <c r="I110" s="25">
        <f t="shared" si="40"/>
        <v>0</v>
      </c>
      <c r="J110" s="25">
        <f t="shared" si="40"/>
        <v>0</v>
      </c>
      <c r="K110" s="40">
        <v>16.21</v>
      </c>
      <c r="L110" s="87"/>
      <c r="M110" s="88"/>
      <c r="N110" s="88"/>
      <c r="O110" s="88"/>
      <c r="P110" s="88"/>
      <c r="Q110" s="88"/>
      <c r="R110" s="88"/>
      <c r="S110" s="88"/>
      <c r="T110" s="88"/>
      <c r="Y110" s="49"/>
    </row>
    <row r="111" spans="1:28" s="41" customFormat="1" ht="16.5" thickBot="1">
      <c r="A111" s="80">
        <v>69</v>
      </c>
      <c r="B111" s="21" t="s">
        <v>24</v>
      </c>
      <c r="C111" s="25">
        <f>D111+E111+F111+G111+H111+I111+J111</f>
        <v>730.5</v>
      </c>
      <c r="D111" s="24">
        <v>730.5</v>
      </c>
      <c r="E111" s="24">
        <f>1500+V111+Y111+Z111+AB111</f>
        <v>0</v>
      </c>
      <c r="F111" s="24">
        <v>0</v>
      </c>
      <c r="G111" s="24">
        <v>0</v>
      </c>
      <c r="H111" s="24">
        <f aca="true" t="shared" si="41" ref="H111:J112">G111</f>
        <v>0</v>
      </c>
      <c r="I111" s="24">
        <f t="shared" si="41"/>
        <v>0</v>
      </c>
      <c r="J111" s="24">
        <f t="shared" si="41"/>
        <v>0</v>
      </c>
      <c r="K111" s="40"/>
      <c r="L111" s="87"/>
      <c r="M111" s="88"/>
      <c r="N111" s="88"/>
      <c r="O111" s="88"/>
      <c r="P111" s="88"/>
      <c r="Q111" s="88"/>
      <c r="R111" s="88"/>
      <c r="S111" s="88"/>
      <c r="T111" s="88"/>
      <c r="V111" s="41">
        <v>-822</v>
      </c>
      <c r="Y111" s="49">
        <v>-90.7</v>
      </c>
      <c r="Z111" s="41">
        <v>-348</v>
      </c>
      <c r="AB111" s="41">
        <f>-85.7-153.6</f>
        <v>-239.3</v>
      </c>
    </row>
    <row r="112" spans="1:25" s="41" customFormat="1" ht="48" thickBot="1">
      <c r="A112" s="80">
        <v>70</v>
      </c>
      <c r="B112" s="21" t="s">
        <v>44</v>
      </c>
      <c r="C112" s="25">
        <f>D112+E112+F112+G112+H112+I112+J112</f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41"/>
        <v>0</v>
      </c>
      <c r="I112" s="24">
        <f t="shared" si="41"/>
        <v>0</v>
      </c>
      <c r="J112" s="24">
        <f t="shared" si="41"/>
        <v>0</v>
      </c>
      <c r="K112" s="40"/>
      <c r="L112" s="87"/>
      <c r="M112" s="88"/>
      <c r="N112" s="88"/>
      <c r="O112" s="88"/>
      <c r="P112" s="88"/>
      <c r="Q112" s="88"/>
      <c r="R112" s="88"/>
      <c r="S112" s="88"/>
      <c r="T112" s="88"/>
      <c r="Y112" s="49"/>
    </row>
    <row r="113" spans="1:25" s="41" customFormat="1" ht="16.5" thickBot="1">
      <c r="A113" s="80">
        <v>71</v>
      </c>
      <c r="B113" s="21" t="s">
        <v>40</v>
      </c>
      <c r="C113" s="25">
        <f>D113+E113+F113+G113+H113+I113+J113</f>
        <v>750</v>
      </c>
      <c r="D113" s="24">
        <v>750</v>
      </c>
      <c r="E113" s="25">
        <f aca="true" t="shared" si="42" ref="E113:J114">F113+G113+H113+I113+J113+K113+L113</f>
        <v>0</v>
      </c>
      <c r="F113" s="25">
        <f t="shared" si="42"/>
        <v>0</v>
      </c>
      <c r="G113" s="25">
        <f t="shared" si="42"/>
        <v>0</v>
      </c>
      <c r="H113" s="25">
        <f t="shared" si="42"/>
        <v>0</v>
      </c>
      <c r="I113" s="25">
        <f t="shared" si="42"/>
        <v>0</v>
      </c>
      <c r="J113" s="25">
        <f t="shared" si="42"/>
        <v>0</v>
      </c>
      <c r="K113" s="40"/>
      <c r="L113" s="87"/>
      <c r="M113" s="88"/>
      <c r="N113" s="88"/>
      <c r="O113" s="88"/>
      <c r="P113" s="88"/>
      <c r="Q113" s="88"/>
      <c r="R113" s="88"/>
      <c r="S113" s="88"/>
      <c r="T113" s="88"/>
      <c r="Y113" s="49"/>
    </row>
    <row r="114" spans="1:25" s="41" customFormat="1" ht="48" thickBot="1">
      <c r="A114" s="80">
        <v>72</v>
      </c>
      <c r="B114" s="21" t="s">
        <v>44</v>
      </c>
      <c r="C114" s="25">
        <f>D114+E114+F114+G114+H114+I114+J114</f>
        <v>0</v>
      </c>
      <c r="D114" s="24">
        <v>0</v>
      </c>
      <c r="E114" s="25">
        <f t="shared" si="42"/>
        <v>0</v>
      </c>
      <c r="F114" s="25">
        <f t="shared" si="42"/>
        <v>0</v>
      </c>
      <c r="G114" s="25">
        <f t="shared" si="42"/>
        <v>0</v>
      </c>
      <c r="H114" s="25">
        <f t="shared" si="42"/>
        <v>0</v>
      </c>
      <c r="I114" s="25">
        <f t="shared" si="42"/>
        <v>0</v>
      </c>
      <c r="J114" s="25">
        <f t="shared" si="42"/>
        <v>0</v>
      </c>
      <c r="K114" s="40"/>
      <c r="L114" s="87"/>
      <c r="M114" s="88"/>
      <c r="N114" s="88"/>
      <c r="O114" s="88"/>
      <c r="P114" s="88"/>
      <c r="Q114" s="88"/>
      <c r="R114" s="88"/>
      <c r="S114" s="88"/>
      <c r="T114" s="88"/>
      <c r="Y114" s="49"/>
    </row>
    <row r="115" spans="1:25" s="41" customFormat="1" ht="63.75" thickBot="1">
      <c r="A115" s="80">
        <v>73</v>
      </c>
      <c r="B115" s="21" t="s">
        <v>62</v>
      </c>
      <c r="C115" s="25">
        <f>C116</f>
        <v>0</v>
      </c>
      <c r="D115" s="25">
        <f aca="true" t="shared" si="43" ref="D115:J115">D116</f>
        <v>0</v>
      </c>
      <c r="E115" s="25">
        <f t="shared" si="43"/>
        <v>0</v>
      </c>
      <c r="F115" s="25">
        <f t="shared" si="43"/>
        <v>0</v>
      </c>
      <c r="G115" s="25">
        <f t="shared" si="43"/>
        <v>0</v>
      </c>
      <c r="H115" s="25">
        <f t="shared" si="43"/>
        <v>0</v>
      </c>
      <c r="I115" s="25">
        <f t="shared" si="43"/>
        <v>0</v>
      </c>
      <c r="J115" s="25">
        <f t="shared" si="43"/>
        <v>0</v>
      </c>
      <c r="K115" s="40" t="s">
        <v>88</v>
      </c>
      <c r="L115" s="87"/>
      <c r="M115" s="88"/>
      <c r="N115" s="88"/>
      <c r="O115" s="88"/>
      <c r="P115" s="88"/>
      <c r="Q115" s="88"/>
      <c r="R115" s="88"/>
      <c r="S115" s="88"/>
      <c r="T115" s="88"/>
      <c r="Y115" s="49"/>
    </row>
    <row r="116" spans="1:25" s="41" customFormat="1" ht="16.5" thickBot="1">
      <c r="A116" s="80">
        <v>74</v>
      </c>
      <c r="B116" s="21" t="s">
        <v>24</v>
      </c>
      <c r="C116" s="25">
        <f>D116+E116+F116+G116+H116+I116+J116</f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40"/>
      <c r="L116" s="87"/>
      <c r="M116" s="88"/>
      <c r="N116" s="88"/>
      <c r="O116" s="88"/>
      <c r="P116" s="88"/>
      <c r="Q116" s="88"/>
      <c r="R116" s="88"/>
      <c r="S116" s="88"/>
      <c r="T116" s="88"/>
      <c r="Y116" s="49"/>
    </row>
    <row r="117" spans="1:25" s="41" customFormat="1" ht="48" thickBot="1">
      <c r="A117" s="80">
        <v>75</v>
      </c>
      <c r="B117" s="21" t="s">
        <v>44</v>
      </c>
      <c r="C117" s="25">
        <f>D117+E117+F117+G117+H117+I117+J117</f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40"/>
      <c r="L117" s="87"/>
      <c r="M117" s="88"/>
      <c r="N117" s="88"/>
      <c r="O117" s="88"/>
      <c r="P117" s="88"/>
      <c r="Q117" s="88"/>
      <c r="R117" s="88"/>
      <c r="S117" s="88"/>
      <c r="T117" s="88"/>
      <c r="Y117" s="49"/>
    </row>
    <row r="118" spans="1:20" ht="15.75">
      <c r="A118" s="94">
        <v>76</v>
      </c>
      <c r="B118" s="12" t="s">
        <v>25</v>
      </c>
      <c r="C118" s="123">
        <f>C120</f>
        <v>0</v>
      </c>
      <c r="D118" s="123">
        <f aca="true" t="shared" si="44" ref="D118:J118">D120</f>
        <v>0</v>
      </c>
      <c r="E118" s="123">
        <f t="shared" si="44"/>
        <v>0</v>
      </c>
      <c r="F118" s="123">
        <f t="shared" si="44"/>
        <v>0</v>
      </c>
      <c r="G118" s="123">
        <f t="shared" si="44"/>
        <v>0</v>
      </c>
      <c r="H118" s="123">
        <f t="shared" si="44"/>
        <v>0</v>
      </c>
      <c r="I118" s="123">
        <f t="shared" si="44"/>
        <v>0</v>
      </c>
      <c r="J118" s="123">
        <f t="shared" si="44"/>
        <v>0</v>
      </c>
      <c r="K118" s="107" t="s">
        <v>89</v>
      </c>
      <c r="L118" s="91"/>
      <c r="M118" s="92"/>
      <c r="N118" s="92"/>
      <c r="O118" s="92"/>
      <c r="P118" s="92"/>
      <c r="Q118" s="92"/>
      <c r="R118" s="92"/>
      <c r="S118" s="92"/>
      <c r="T118" s="92"/>
    </row>
    <row r="119" spans="1:20" ht="68.25" customHeight="1" thickBot="1">
      <c r="A119" s="95"/>
      <c r="B119" s="8" t="s">
        <v>57</v>
      </c>
      <c r="C119" s="124"/>
      <c r="D119" s="124"/>
      <c r="E119" s="124"/>
      <c r="F119" s="124"/>
      <c r="G119" s="124"/>
      <c r="H119" s="124"/>
      <c r="I119" s="124"/>
      <c r="J119" s="124"/>
      <c r="K119" s="108"/>
      <c r="L119" s="91"/>
      <c r="M119" s="92"/>
      <c r="N119" s="92"/>
      <c r="O119" s="92"/>
      <c r="P119" s="92"/>
      <c r="Q119" s="92"/>
      <c r="R119" s="92"/>
      <c r="S119" s="92"/>
      <c r="T119" s="92"/>
    </row>
    <row r="120" spans="1:20" ht="16.5" thickBot="1">
      <c r="A120" s="77">
        <v>77</v>
      </c>
      <c r="B120" s="8" t="s">
        <v>16</v>
      </c>
      <c r="C120" s="16">
        <f>D120+E120+F120+G120+H120+I120+J120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2"/>
      <c r="L120" s="91"/>
      <c r="M120" s="92"/>
      <c r="N120" s="92"/>
      <c r="O120" s="92"/>
      <c r="P120" s="92"/>
      <c r="Q120" s="92"/>
      <c r="R120" s="92"/>
      <c r="S120" s="92"/>
      <c r="T120" s="92"/>
    </row>
    <row r="121" spans="1:20" ht="48" thickBot="1">
      <c r="A121" s="77">
        <v>78</v>
      </c>
      <c r="B121" s="8" t="s">
        <v>44</v>
      </c>
      <c r="C121" s="16">
        <f>D121+E121+F121+G121+H121+I121+J121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2"/>
      <c r="L121" s="91"/>
      <c r="M121" s="92"/>
      <c r="N121" s="92"/>
      <c r="O121" s="92"/>
      <c r="P121" s="92"/>
      <c r="Q121" s="92"/>
      <c r="R121" s="92"/>
      <c r="S121" s="92"/>
      <c r="T121" s="92"/>
    </row>
    <row r="122" spans="1:20" ht="15.75" customHeight="1">
      <c r="A122" s="94">
        <v>79</v>
      </c>
      <c r="B122" s="12" t="s">
        <v>26</v>
      </c>
      <c r="C122" s="123">
        <f>C124+C126</f>
        <v>14392.800000000001</v>
      </c>
      <c r="D122" s="123">
        <f aca="true" t="shared" si="45" ref="D122:J122">D124+D126</f>
        <v>5930.1</v>
      </c>
      <c r="E122" s="123">
        <f t="shared" si="45"/>
        <v>1896.6</v>
      </c>
      <c r="F122" s="123">
        <f t="shared" si="45"/>
        <v>2227.7</v>
      </c>
      <c r="G122" s="123">
        <f t="shared" si="45"/>
        <v>1084.6</v>
      </c>
      <c r="H122" s="123">
        <f t="shared" si="45"/>
        <v>1084.6</v>
      </c>
      <c r="I122" s="123">
        <f t="shared" si="45"/>
        <v>1084.6</v>
      </c>
      <c r="J122" s="123">
        <f t="shared" si="45"/>
        <v>1084.6</v>
      </c>
      <c r="K122" s="125" t="s">
        <v>90</v>
      </c>
      <c r="L122" s="91"/>
      <c r="M122" s="92"/>
      <c r="N122" s="92"/>
      <c r="O122" s="92"/>
      <c r="P122" s="92"/>
      <c r="Q122" s="92"/>
      <c r="R122" s="92"/>
      <c r="S122" s="92"/>
      <c r="T122" s="92"/>
    </row>
    <row r="123" spans="1:20" ht="102" customHeight="1" thickBot="1">
      <c r="A123" s="95"/>
      <c r="B123" s="8" t="s">
        <v>68</v>
      </c>
      <c r="C123" s="124"/>
      <c r="D123" s="124"/>
      <c r="E123" s="124"/>
      <c r="F123" s="124"/>
      <c r="G123" s="124"/>
      <c r="H123" s="124"/>
      <c r="I123" s="124"/>
      <c r="J123" s="124"/>
      <c r="K123" s="126"/>
      <c r="L123" s="91"/>
      <c r="M123" s="92"/>
      <c r="N123" s="92"/>
      <c r="O123" s="92"/>
      <c r="P123" s="92"/>
      <c r="Q123" s="92"/>
      <c r="R123" s="92"/>
      <c r="S123" s="92"/>
      <c r="T123" s="92"/>
    </row>
    <row r="124" spans="1:20" ht="16.5" thickBot="1">
      <c r="A124" s="77">
        <v>80</v>
      </c>
      <c r="B124" s="8" t="s">
        <v>15</v>
      </c>
      <c r="C124" s="16">
        <f>D124+E124+F124+G124+H124+I124+J124</f>
        <v>1599.8</v>
      </c>
      <c r="D124" s="24">
        <f>D130+D136</f>
        <v>1252</v>
      </c>
      <c r="E124" s="13">
        <f>E130+E136</f>
        <v>347.8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2"/>
      <c r="L124" s="91"/>
      <c r="M124" s="92"/>
      <c r="N124" s="92"/>
      <c r="O124" s="92"/>
      <c r="P124" s="92"/>
      <c r="Q124" s="92"/>
      <c r="R124" s="92"/>
      <c r="S124" s="92"/>
      <c r="T124" s="92"/>
    </row>
    <row r="125" spans="1:20" ht="48" thickBot="1">
      <c r="A125" s="77">
        <v>81</v>
      </c>
      <c r="B125" s="8" t="s">
        <v>44</v>
      </c>
      <c r="C125" s="16">
        <f>D125+E125+F125+G125+H125+I125+J125</f>
        <v>305.5</v>
      </c>
      <c r="D125" s="24">
        <f>D131+D137</f>
        <v>305.5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2"/>
      <c r="L125" s="91"/>
      <c r="M125" s="92"/>
      <c r="N125" s="92"/>
      <c r="O125" s="92"/>
      <c r="P125" s="92"/>
      <c r="Q125" s="92"/>
      <c r="R125" s="92"/>
      <c r="S125" s="92"/>
      <c r="T125" s="92"/>
    </row>
    <row r="126" spans="1:20" ht="21" customHeight="1" thickBot="1">
      <c r="A126" s="77">
        <v>82</v>
      </c>
      <c r="B126" s="8" t="s">
        <v>16</v>
      </c>
      <c r="C126" s="16">
        <f>D126+E126+F126+G126+H126+I126+J126</f>
        <v>12793.000000000002</v>
      </c>
      <c r="D126" s="24">
        <f>D132+D138</f>
        <v>4678.1</v>
      </c>
      <c r="E126" s="13">
        <f>E132+E138</f>
        <v>1548.8</v>
      </c>
      <c r="F126" s="13">
        <f aca="true" t="shared" si="46" ref="E126:J127">F132+F138</f>
        <v>2227.7</v>
      </c>
      <c r="G126" s="13">
        <f t="shared" si="46"/>
        <v>1084.6</v>
      </c>
      <c r="H126" s="13">
        <f t="shared" si="46"/>
        <v>1084.6</v>
      </c>
      <c r="I126" s="13">
        <f t="shared" si="46"/>
        <v>1084.6</v>
      </c>
      <c r="J126" s="13">
        <f t="shared" si="46"/>
        <v>1084.6</v>
      </c>
      <c r="K126" s="32"/>
      <c r="L126" s="91"/>
      <c r="M126" s="92"/>
      <c r="N126" s="92"/>
      <c r="O126" s="92"/>
      <c r="P126" s="92"/>
      <c r="Q126" s="92"/>
      <c r="R126" s="92"/>
      <c r="S126" s="92"/>
      <c r="T126" s="92"/>
    </row>
    <row r="127" spans="1:20" ht="48" thickBot="1">
      <c r="A127" s="77">
        <v>83</v>
      </c>
      <c r="B127" s="8" t="s">
        <v>44</v>
      </c>
      <c r="C127" s="16">
        <f>D127+E127+F127+G127+H127+I127+J127</f>
        <v>6063.599999999999</v>
      </c>
      <c r="D127" s="13">
        <f>D133+D139</f>
        <v>2286.3999999999996</v>
      </c>
      <c r="E127" s="13">
        <f t="shared" si="46"/>
        <v>69.2</v>
      </c>
      <c r="F127" s="13">
        <f t="shared" si="46"/>
        <v>0</v>
      </c>
      <c r="G127" s="13">
        <f t="shared" si="46"/>
        <v>927</v>
      </c>
      <c r="H127" s="13">
        <f t="shared" si="46"/>
        <v>927</v>
      </c>
      <c r="I127" s="13">
        <f t="shared" si="46"/>
        <v>927</v>
      </c>
      <c r="J127" s="13">
        <f t="shared" si="46"/>
        <v>927</v>
      </c>
      <c r="K127" s="32"/>
      <c r="L127" s="91"/>
      <c r="M127" s="92"/>
      <c r="N127" s="92"/>
      <c r="O127" s="92"/>
      <c r="P127" s="92"/>
      <c r="Q127" s="92"/>
      <c r="R127" s="92"/>
      <c r="S127" s="92"/>
      <c r="T127" s="92"/>
    </row>
    <row r="128" spans="1:25" s="41" customFormat="1" ht="15.75" customHeight="1">
      <c r="A128" s="83">
        <v>84</v>
      </c>
      <c r="B128" s="27" t="s">
        <v>77</v>
      </c>
      <c r="C128" s="85">
        <f>C130+C132</f>
        <v>4287.5</v>
      </c>
      <c r="D128" s="85">
        <f aca="true" t="shared" si="47" ref="D128:J128">D130+D132</f>
        <v>3420.5</v>
      </c>
      <c r="E128" s="85">
        <f t="shared" si="47"/>
        <v>811.5</v>
      </c>
      <c r="F128" s="85">
        <f t="shared" si="47"/>
        <v>55.5</v>
      </c>
      <c r="G128" s="85">
        <f t="shared" si="47"/>
        <v>0</v>
      </c>
      <c r="H128" s="85">
        <f t="shared" si="47"/>
        <v>0</v>
      </c>
      <c r="I128" s="85">
        <f t="shared" si="47"/>
        <v>0</v>
      </c>
      <c r="J128" s="85">
        <f t="shared" si="47"/>
        <v>0</v>
      </c>
      <c r="K128" s="89" t="s">
        <v>90</v>
      </c>
      <c r="L128" s="87">
        <f>L130+L132</f>
        <v>276960</v>
      </c>
      <c r="M128" s="88"/>
      <c r="N128" s="88"/>
      <c r="O128" s="88"/>
      <c r="P128" s="88"/>
      <c r="Q128" s="88"/>
      <c r="R128" s="88"/>
      <c r="S128" s="88"/>
      <c r="T128" s="88"/>
      <c r="Y128" s="49"/>
    </row>
    <row r="129" spans="1:25" s="41" customFormat="1" ht="88.5" customHeight="1" thickBot="1">
      <c r="A129" s="84"/>
      <c r="B129" s="21" t="s">
        <v>105</v>
      </c>
      <c r="C129" s="86"/>
      <c r="D129" s="86"/>
      <c r="E129" s="86"/>
      <c r="F129" s="86"/>
      <c r="G129" s="86"/>
      <c r="H129" s="86"/>
      <c r="I129" s="86"/>
      <c r="J129" s="86"/>
      <c r="K129" s="90"/>
      <c r="L129" s="87"/>
      <c r="M129" s="88"/>
      <c r="N129" s="88"/>
      <c r="O129" s="88"/>
      <c r="P129" s="88"/>
      <c r="Q129" s="88"/>
      <c r="R129" s="88"/>
      <c r="S129" s="88"/>
      <c r="T129" s="88"/>
      <c r="U129" s="41">
        <v>276.9</v>
      </c>
      <c r="Y129" s="49"/>
    </row>
    <row r="130" spans="1:25" s="41" customFormat="1" ht="16.5" thickBot="1">
      <c r="A130" s="80">
        <v>85</v>
      </c>
      <c r="B130" s="21" t="s">
        <v>15</v>
      </c>
      <c r="C130" s="25">
        <f>D130+E130+F130+G130+H130+I130+J130</f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40"/>
      <c r="L130" s="87"/>
      <c r="M130" s="88"/>
      <c r="N130" s="88"/>
      <c r="O130" s="88"/>
      <c r="P130" s="88"/>
      <c r="Q130" s="88"/>
      <c r="R130" s="88"/>
      <c r="S130" s="88"/>
      <c r="T130" s="88"/>
      <c r="Y130" s="49"/>
    </row>
    <row r="131" spans="1:25" s="41" customFormat="1" ht="48" thickBot="1">
      <c r="A131" s="80">
        <v>86</v>
      </c>
      <c r="B131" s="21" t="s">
        <v>44</v>
      </c>
      <c r="C131" s="25">
        <f>D131+E131+F131+G131+H131+I131+J131</f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40"/>
      <c r="L131" s="87"/>
      <c r="M131" s="88"/>
      <c r="N131" s="88"/>
      <c r="O131" s="88"/>
      <c r="P131" s="88"/>
      <c r="Q131" s="88"/>
      <c r="R131" s="88"/>
      <c r="S131" s="88"/>
      <c r="T131" s="88"/>
      <c r="Y131" s="49"/>
    </row>
    <row r="132" spans="1:30" s="41" customFormat="1" ht="21" customHeight="1" thickBot="1">
      <c r="A132" s="80">
        <v>87</v>
      </c>
      <c r="B132" s="21" t="s">
        <v>16</v>
      </c>
      <c r="C132" s="25">
        <f>D132+E132+F132+G132+H132+I132+J132</f>
        <v>4287.5</v>
      </c>
      <c r="D132" s="24">
        <f>2551.9+300+U132+290+1.7</f>
        <v>3420.5</v>
      </c>
      <c r="E132" s="24">
        <f>V132+W132+X132+Y132+Z132+AA132+AB132+AC132+AD132</f>
        <v>811.5</v>
      </c>
      <c r="F132" s="24">
        <v>55.5</v>
      </c>
      <c r="G132" s="24">
        <v>0</v>
      </c>
      <c r="H132" s="24">
        <v>0</v>
      </c>
      <c r="I132" s="24">
        <v>0</v>
      </c>
      <c r="J132" s="24">
        <v>0</v>
      </c>
      <c r="K132" s="40"/>
      <c r="L132" s="81">
        <f>280960-4000</f>
        <v>276960</v>
      </c>
      <c r="M132" s="82"/>
      <c r="N132" s="82"/>
      <c r="O132" s="82"/>
      <c r="P132" s="82"/>
      <c r="Q132" s="82"/>
      <c r="R132" s="82"/>
      <c r="S132" s="82"/>
      <c r="T132" s="82"/>
      <c r="U132" s="42">
        <v>276.9</v>
      </c>
      <c r="V132" s="41">
        <v>92</v>
      </c>
      <c r="W132" s="41">
        <v>505.3</v>
      </c>
      <c r="X132" s="41">
        <v>-90.8</v>
      </c>
      <c r="Y132" s="49">
        <v>250</v>
      </c>
      <c r="Z132" s="41">
        <v>202.4</v>
      </c>
      <c r="AA132" s="41">
        <v>648.2</v>
      </c>
      <c r="AB132" s="41">
        <v>-664.5</v>
      </c>
      <c r="AC132" s="41">
        <v>-202.3</v>
      </c>
      <c r="AD132" s="41">
        <v>71.2</v>
      </c>
    </row>
    <row r="133" spans="1:26" s="41" customFormat="1" ht="48" thickBot="1">
      <c r="A133" s="80">
        <v>88</v>
      </c>
      <c r="B133" s="21" t="s">
        <v>44</v>
      </c>
      <c r="C133" s="25">
        <f>D133+E133+F133+G133+H133+I133+J133</f>
        <v>2050.1</v>
      </c>
      <c r="D133" s="24">
        <f>2001.3-20.4</f>
        <v>1980.8999999999999</v>
      </c>
      <c r="E133" s="24">
        <f>Z133</f>
        <v>69.2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40"/>
      <c r="L133" s="87"/>
      <c r="M133" s="88"/>
      <c r="N133" s="88"/>
      <c r="O133" s="88"/>
      <c r="P133" s="88"/>
      <c r="Q133" s="88"/>
      <c r="R133" s="88"/>
      <c r="S133" s="88"/>
      <c r="T133" s="88"/>
      <c r="Y133" s="49"/>
      <c r="Z133" s="41">
        <v>69.2</v>
      </c>
    </row>
    <row r="134" spans="1:25" s="41" customFormat="1" ht="15.75" customHeight="1">
      <c r="A134" s="83">
        <v>89</v>
      </c>
      <c r="B134" s="27" t="s">
        <v>78</v>
      </c>
      <c r="C134" s="85">
        <f>C136+C138</f>
        <v>10105.3</v>
      </c>
      <c r="D134" s="85">
        <f aca="true" t="shared" si="48" ref="D134:J134">D136+D138</f>
        <v>2509.6</v>
      </c>
      <c r="E134" s="85">
        <f t="shared" si="48"/>
        <v>1085.1</v>
      </c>
      <c r="F134" s="85">
        <f t="shared" si="48"/>
        <v>2172.2</v>
      </c>
      <c r="G134" s="85">
        <f t="shared" si="48"/>
        <v>1084.6</v>
      </c>
      <c r="H134" s="85">
        <f t="shared" si="48"/>
        <v>1084.6</v>
      </c>
      <c r="I134" s="85">
        <f t="shared" si="48"/>
        <v>1084.6</v>
      </c>
      <c r="J134" s="85">
        <f t="shared" si="48"/>
        <v>1084.6</v>
      </c>
      <c r="K134" s="89" t="s">
        <v>90</v>
      </c>
      <c r="L134" s="87">
        <f>L136+L137+L138+L139</f>
        <v>5567</v>
      </c>
      <c r="M134" s="88"/>
      <c r="N134" s="88"/>
      <c r="O134" s="88"/>
      <c r="P134" s="88"/>
      <c r="Q134" s="88"/>
      <c r="R134" s="88"/>
      <c r="S134" s="88"/>
      <c r="T134" s="88"/>
      <c r="Y134" s="49"/>
    </row>
    <row r="135" spans="1:25" s="41" customFormat="1" ht="175.5" customHeight="1" thickBot="1">
      <c r="A135" s="84"/>
      <c r="B135" s="21" t="s">
        <v>79</v>
      </c>
      <c r="C135" s="86"/>
      <c r="D135" s="86"/>
      <c r="E135" s="86"/>
      <c r="F135" s="86"/>
      <c r="G135" s="86"/>
      <c r="H135" s="86"/>
      <c r="I135" s="86"/>
      <c r="J135" s="86"/>
      <c r="K135" s="90"/>
      <c r="L135" s="87"/>
      <c r="M135" s="88"/>
      <c r="N135" s="88"/>
      <c r="O135" s="88"/>
      <c r="P135" s="88"/>
      <c r="Q135" s="88"/>
      <c r="R135" s="88"/>
      <c r="S135" s="88"/>
      <c r="T135" s="88"/>
      <c r="U135" s="41">
        <v>5.6</v>
      </c>
      <c r="Y135" s="49"/>
    </row>
    <row r="136" spans="1:25" s="41" customFormat="1" ht="16.5" thickBot="1">
      <c r="A136" s="80">
        <v>90</v>
      </c>
      <c r="B136" s="21" t="s">
        <v>15</v>
      </c>
      <c r="C136" s="25">
        <f>D136+E136+F136+G136+H136+I136+J136</f>
        <v>1599.8</v>
      </c>
      <c r="D136" s="24">
        <f>1252+U136+U137</f>
        <v>1252</v>
      </c>
      <c r="E136" s="24">
        <f>W136</f>
        <v>347.8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40"/>
      <c r="L136" s="81">
        <f>-18108</f>
        <v>-18108</v>
      </c>
      <c r="M136" s="82"/>
      <c r="N136" s="82"/>
      <c r="O136" s="82"/>
      <c r="P136" s="82"/>
      <c r="Q136" s="82"/>
      <c r="R136" s="82"/>
      <c r="S136" s="82"/>
      <c r="T136" s="82"/>
      <c r="U136" s="42">
        <v>-18.1</v>
      </c>
      <c r="W136" s="41">
        <v>347.8</v>
      </c>
      <c r="Y136" s="49"/>
    </row>
    <row r="137" spans="1:25" s="41" customFormat="1" ht="48" thickBot="1">
      <c r="A137" s="80">
        <v>91</v>
      </c>
      <c r="B137" s="21" t="s">
        <v>44</v>
      </c>
      <c r="C137" s="25">
        <f>D137+E137+F137+G137+H137+I137+J137</f>
        <v>305.5</v>
      </c>
      <c r="D137" s="24">
        <f>287.4+U137</f>
        <v>305.5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40"/>
      <c r="L137" s="81">
        <f>18108</f>
        <v>18108</v>
      </c>
      <c r="M137" s="82"/>
      <c r="N137" s="82"/>
      <c r="O137" s="82"/>
      <c r="P137" s="82"/>
      <c r="Q137" s="82"/>
      <c r="R137" s="82"/>
      <c r="S137" s="82"/>
      <c r="T137" s="82"/>
      <c r="U137" s="42">
        <v>18.1</v>
      </c>
      <c r="Y137" s="49"/>
    </row>
    <row r="138" spans="1:27" s="41" customFormat="1" ht="21" customHeight="1" thickBot="1">
      <c r="A138" s="80">
        <v>92</v>
      </c>
      <c r="B138" s="21" t="s">
        <v>16</v>
      </c>
      <c r="C138" s="25">
        <f>D138+E138+F138+G138+H138+I138+J138</f>
        <v>8505.5</v>
      </c>
      <c r="D138" s="24">
        <f>U138+U139+1252</f>
        <v>1257.6</v>
      </c>
      <c r="E138" s="24">
        <f>1890.8+V138+W138+AA138</f>
        <v>737.3</v>
      </c>
      <c r="F138" s="24">
        <v>2172.2</v>
      </c>
      <c r="G138" s="24">
        <v>1084.6</v>
      </c>
      <c r="H138" s="24">
        <f aca="true" t="shared" si="49" ref="H138:J139">G138</f>
        <v>1084.6</v>
      </c>
      <c r="I138" s="24">
        <f t="shared" si="49"/>
        <v>1084.6</v>
      </c>
      <c r="J138" s="24">
        <f t="shared" si="49"/>
        <v>1084.6</v>
      </c>
      <c r="K138" s="40"/>
      <c r="L138" s="81">
        <f>-16541+4000</f>
        <v>-12541</v>
      </c>
      <c r="M138" s="82"/>
      <c r="N138" s="82"/>
      <c r="O138" s="82"/>
      <c r="P138" s="82"/>
      <c r="Q138" s="82"/>
      <c r="R138" s="82"/>
      <c r="S138" s="82"/>
      <c r="T138" s="82"/>
      <c r="U138" s="41">
        <v>-12.5</v>
      </c>
      <c r="W138" s="41">
        <v>-505.3</v>
      </c>
      <c r="Y138" s="49"/>
      <c r="AA138" s="41">
        <v>-648.2</v>
      </c>
    </row>
    <row r="139" spans="1:25" s="41" customFormat="1" ht="48" thickBot="1">
      <c r="A139" s="80">
        <v>93</v>
      </c>
      <c r="B139" s="21" t="s">
        <v>44</v>
      </c>
      <c r="C139" s="25">
        <f>D139+E139+F139+G139+H139+I139+J139</f>
        <v>4013.5</v>
      </c>
      <c r="D139" s="24">
        <f>287.4+U139</f>
        <v>305.5</v>
      </c>
      <c r="E139" s="24">
        <f>840.8+W139</f>
        <v>0</v>
      </c>
      <c r="F139" s="24">
        <v>0</v>
      </c>
      <c r="G139" s="24">
        <v>927</v>
      </c>
      <c r="H139" s="24">
        <f t="shared" si="49"/>
        <v>927</v>
      </c>
      <c r="I139" s="24">
        <f t="shared" si="49"/>
        <v>927</v>
      </c>
      <c r="J139" s="24">
        <f t="shared" si="49"/>
        <v>927</v>
      </c>
      <c r="K139" s="40"/>
      <c r="L139" s="81">
        <f>18108</f>
        <v>18108</v>
      </c>
      <c r="M139" s="82"/>
      <c r="N139" s="82"/>
      <c r="O139" s="82"/>
      <c r="P139" s="82"/>
      <c r="Q139" s="82"/>
      <c r="R139" s="82"/>
      <c r="S139" s="82"/>
      <c r="T139" s="82"/>
      <c r="U139" s="41">
        <v>18.1</v>
      </c>
      <c r="W139" s="41">
        <v>-840.8</v>
      </c>
      <c r="Y139" s="49"/>
    </row>
    <row r="140" spans="1:31" s="41" customFormat="1" ht="15.75" customHeight="1" hidden="1">
      <c r="A140" s="94"/>
      <c r="B140" s="12" t="s">
        <v>49</v>
      </c>
      <c r="C140" s="123">
        <f>C142+C144</f>
        <v>0</v>
      </c>
      <c r="D140" s="123">
        <f aca="true" t="shared" si="50" ref="D140:J140">D142+D144</f>
        <v>0</v>
      </c>
      <c r="E140" s="123">
        <f t="shared" si="50"/>
        <v>0</v>
      </c>
      <c r="F140" s="123">
        <f t="shared" si="50"/>
        <v>0</v>
      </c>
      <c r="G140" s="123">
        <f t="shared" si="50"/>
        <v>0</v>
      </c>
      <c r="H140" s="123">
        <f t="shared" si="50"/>
        <v>0</v>
      </c>
      <c r="I140" s="123">
        <f t="shared" si="50"/>
        <v>0</v>
      </c>
      <c r="J140" s="123">
        <f t="shared" si="50"/>
        <v>0</v>
      </c>
      <c r="K140" s="32">
        <v>34.35</v>
      </c>
      <c r="L140" s="91"/>
      <c r="M140" s="93"/>
      <c r="N140" s="93"/>
      <c r="O140" s="93"/>
      <c r="P140" s="93"/>
      <c r="Q140" s="93"/>
      <c r="R140" s="93"/>
      <c r="S140" s="93"/>
      <c r="T140" s="93"/>
      <c r="U140"/>
      <c r="V140"/>
      <c r="W140"/>
      <c r="X140"/>
      <c r="Y140" s="49"/>
      <c r="AC140"/>
      <c r="AD140"/>
      <c r="AE140"/>
    </row>
    <row r="141" spans="1:31" s="41" customFormat="1" ht="104.25" customHeight="1" hidden="1" thickBot="1">
      <c r="A141" s="95"/>
      <c r="B141" s="8" t="s">
        <v>58</v>
      </c>
      <c r="C141" s="124"/>
      <c r="D141" s="124"/>
      <c r="E141" s="124"/>
      <c r="F141" s="124"/>
      <c r="G141" s="124"/>
      <c r="H141" s="124"/>
      <c r="I141" s="124"/>
      <c r="J141" s="124"/>
      <c r="K141" s="32"/>
      <c r="L141" s="91"/>
      <c r="M141" s="93"/>
      <c r="N141" s="93"/>
      <c r="O141" s="93"/>
      <c r="P141" s="93"/>
      <c r="Q141" s="93"/>
      <c r="R141" s="93"/>
      <c r="S141" s="93"/>
      <c r="T141" s="93"/>
      <c r="U141"/>
      <c r="V141"/>
      <c r="W141"/>
      <c r="X141"/>
      <c r="Y141" s="49"/>
      <c r="AC141"/>
      <c r="AD141"/>
      <c r="AE141"/>
    </row>
    <row r="142" spans="1:31" s="41" customFormat="1" ht="16.5" customHeight="1" hidden="1" thickBot="1">
      <c r="A142" s="77"/>
      <c r="B142" s="8" t="s">
        <v>15</v>
      </c>
      <c r="C142" s="16">
        <f>D142+E142+F142+G142+H142+I142+J142</f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32"/>
      <c r="L142" s="91"/>
      <c r="M142" s="93"/>
      <c r="N142" s="93"/>
      <c r="O142" s="93"/>
      <c r="P142" s="93"/>
      <c r="Q142" s="93"/>
      <c r="R142" s="93"/>
      <c r="S142" s="93"/>
      <c r="T142" s="93"/>
      <c r="U142"/>
      <c r="V142"/>
      <c r="W142"/>
      <c r="X142"/>
      <c r="Y142" s="49"/>
      <c r="AC142"/>
      <c r="AD142"/>
      <c r="AE142"/>
    </row>
    <row r="143" spans="1:31" s="41" customFormat="1" ht="48" customHeight="1" hidden="1" thickBot="1">
      <c r="A143" s="77"/>
      <c r="B143" s="8" t="s">
        <v>44</v>
      </c>
      <c r="C143" s="16">
        <f>D143+E143+F143+G143+H143+I143+J143</f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32"/>
      <c r="L143" s="91"/>
      <c r="M143" s="93"/>
      <c r="N143" s="93"/>
      <c r="O143" s="93"/>
      <c r="P143" s="93"/>
      <c r="Q143" s="93"/>
      <c r="R143" s="93"/>
      <c r="S143" s="93"/>
      <c r="T143" s="93"/>
      <c r="U143"/>
      <c r="V143"/>
      <c r="W143"/>
      <c r="X143"/>
      <c r="Y143" s="49"/>
      <c r="AC143"/>
      <c r="AD143"/>
      <c r="AE143"/>
    </row>
    <row r="144" spans="1:31" s="41" customFormat="1" ht="16.5" customHeight="1" hidden="1" thickBot="1">
      <c r="A144" s="77"/>
      <c r="B144" s="8" t="s">
        <v>16</v>
      </c>
      <c r="C144" s="16">
        <f>D144+E144+F144+G144+H144+I144+J144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2"/>
      <c r="L144" s="91"/>
      <c r="M144" s="93"/>
      <c r="N144" s="93"/>
      <c r="O144" s="93"/>
      <c r="P144" s="93"/>
      <c r="Q144" s="93"/>
      <c r="R144" s="93"/>
      <c r="S144" s="93"/>
      <c r="T144" s="93"/>
      <c r="U144"/>
      <c r="V144"/>
      <c r="W144"/>
      <c r="X144"/>
      <c r="Y144" s="49"/>
      <c r="AC144"/>
      <c r="AD144"/>
      <c r="AE144"/>
    </row>
    <row r="145" spans="1:31" s="41" customFormat="1" ht="48" customHeight="1" hidden="1" thickBot="1">
      <c r="A145" s="77"/>
      <c r="B145" s="8" t="s">
        <v>44</v>
      </c>
      <c r="C145" s="16">
        <f>D145+E145+F145+G145+H145+I145+J145</f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0"/>
      <c r="L145" s="91"/>
      <c r="M145" s="93"/>
      <c r="N145" s="93"/>
      <c r="O145" s="93"/>
      <c r="P145" s="93"/>
      <c r="Q145" s="93"/>
      <c r="R145" s="93"/>
      <c r="S145" s="93"/>
      <c r="T145" s="93"/>
      <c r="U145"/>
      <c r="V145"/>
      <c r="W145"/>
      <c r="X145"/>
      <c r="Y145" s="49"/>
      <c r="AC145"/>
      <c r="AD145"/>
      <c r="AE145"/>
    </row>
    <row r="146" spans="1:31" s="41" customFormat="1" ht="95.25" thickBot="1">
      <c r="A146" s="77">
        <v>94</v>
      </c>
      <c r="B146" s="31" t="s">
        <v>82</v>
      </c>
      <c r="C146" s="16">
        <f>C147+C149</f>
        <v>0</v>
      </c>
      <c r="D146" s="16">
        <f aca="true" t="shared" si="51" ref="D146:J146">D147+D149</f>
        <v>0</v>
      </c>
      <c r="E146" s="16">
        <f t="shared" si="51"/>
        <v>0</v>
      </c>
      <c r="F146" s="16">
        <f t="shared" si="51"/>
        <v>0</v>
      </c>
      <c r="G146" s="16">
        <f t="shared" si="51"/>
        <v>0</v>
      </c>
      <c r="H146" s="16">
        <f t="shared" si="51"/>
        <v>0</v>
      </c>
      <c r="I146" s="16">
        <f t="shared" si="51"/>
        <v>0</v>
      </c>
      <c r="J146" s="16">
        <f t="shared" si="51"/>
        <v>0</v>
      </c>
      <c r="K146" s="10">
        <v>34.35</v>
      </c>
      <c r="L146" s="91"/>
      <c r="M146" s="92"/>
      <c r="N146" s="92"/>
      <c r="O146" s="92"/>
      <c r="P146" s="92"/>
      <c r="Q146" s="92"/>
      <c r="R146" s="92"/>
      <c r="S146" s="92"/>
      <c r="T146" s="92"/>
      <c r="U146"/>
      <c r="V146"/>
      <c r="W146"/>
      <c r="X146"/>
      <c r="Y146" s="49"/>
      <c r="AC146"/>
      <c r="AD146"/>
      <c r="AE146"/>
    </row>
    <row r="147" spans="1:31" s="41" customFormat="1" ht="16.5" thickBot="1">
      <c r="A147" s="77">
        <v>95</v>
      </c>
      <c r="B147" s="8" t="s">
        <v>15</v>
      </c>
      <c r="C147" s="16">
        <f>D147+E147+F147+G147+H147+I147+J147</f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0"/>
      <c r="L147" s="91"/>
      <c r="M147" s="92"/>
      <c r="N147" s="92"/>
      <c r="O147" s="92"/>
      <c r="P147" s="92"/>
      <c r="Q147" s="92"/>
      <c r="R147" s="92"/>
      <c r="S147" s="92"/>
      <c r="T147" s="92"/>
      <c r="U147"/>
      <c r="V147"/>
      <c r="W147"/>
      <c r="X147"/>
      <c r="Y147" s="49"/>
      <c r="AC147"/>
      <c r="AD147"/>
      <c r="AE147"/>
    </row>
    <row r="148" spans="1:31" s="41" customFormat="1" ht="48" thickBot="1">
      <c r="A148" s="77">
        <v>96</v>
      </c>
      <c r="B148" s="8" t="s">
        <v>44</v>
      </c>
      <c r="C148" s="16">
        <f>D148+E148+F148+G148+H148+I148+J148</f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0"/>
      <c r="L148" s="91"/>
      <c r="M148" s="92"/>
      <c r="N148" s="92"/>
      <c r="O148" s="92"/>
      <c r="P148" s="92"/>
      <c r="Q148" s="92"/>
      <c r="R148" s="92"/>
      <c r="S148" s="92"/>
      <c r="T148" s="92"/>
      <c r="U148"/>
      <c r="V148"/>
      <c r="W148"/>
      <c r="X148"/>
      <c r="Y148" s="49"/>
      <c r="AC148"/>
      <c r="AD148"/>
      <c r="AE148"/>
    </row>
    <row r="149" spans="1:31" s="41" customFormat="1" ht="16.5" thickBot="1">
      <c r="A149" s="77">
        <v>97</v>
      </c>
      <c r="B149" s="8" t="s">
        <v>16</v>
      </c>
      <c r="C149" s="16">
        <f>D149+E149+F149+G149+H149+I149+J149</f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0"/>
      <c r="L149" s="91"/>
      <c r="M149" s="92"/>
      <c r="N149" s="92"/>
      <c r="O149" s="92"/>
      <c r="P149" s="92"/>
      <c r="Q149" s="92"/>
      <c r="R149" s="92"/>
      <c r="S149" s="92"/>
      <c r="T149" s="92"/>
      <c r="U149"/>
      <c r="V149"/>
      <c r="W149"/>
      <c r="X149"/>
      <c r="Y149" s="49"/>
      <c r="AC149"/>
      <c r="AD149"/>
      <c r="AE149"/>
    </row>
    <row r="150" spans="1:31" s="41" customFormat="1" ht="48" thickBot="1">
      <c r="A150" s="77">
        <v>98</v>
      </c>
      <c r="B150" s="8" t="s">
        <v>44</v>
      </c>
      <c r="C150" s="16">
        <f>D150+E150+F150+G150+H150+I150+J150</f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0"/>
      <c r="L150" s="91"/>
      <c r="M150" s="92"/>
      <c r="N150" s="92"/>
      <c r="O150" s="92"/>
      <c r="P150" s="92"/>
      <c r="Q150" s="92"/>
      <c r="R150" s="92"/>
      <c r="S150" s="92"/>
      <c r="T150" s="92"/>
      <c r="U150"/>
      <c r="V150"/>
      <c r="W150"/>
      <c r="X150"/>
      <c r="Y150" s="49"/>
      <c r="AC150"/>
      <c r="AD150"/>
      <c r="AE150"/>
    </row>
    <row r="151" spans="1:25" s="41" customFormat="1" ht="15.75" customHeight="1">
      <c r="A151" s="83">
        <v>99</v>
      </c>
      <c r="B151" s="27" t="s">
        <v>99</v>
      </c>
      <c r="C151" s="85">
        <f>C156+C158+C154</f>
        <v>1212.6</v>
      </c>
      <c r="D151" s="85">
        <f>D156+D158+D154</f>
        <v>0</v>
      </c>
      <c r="E151" s="85">
        <f aca="true" t="shared" si="52" ref="E151:J151">E156+E158+E154</f>
        <v>1212.6</v>
      </c>
      <c r="F151" s="85">
        <f t="shared" si="52"/>
        <v>0</v>
      </c>
      <c r="G151" s="85">
        <f t="shared" si="52"/>
        <v>0</v>
      </c>
      <c r="H151" s="85">
        <f t="shared" si="52"/>
        <v>0</v>
      </c>
      <c r="I151" s="85">
        <f t="shared" si="52"/>
        <v>0</v>
      </c>
      <c r="J151" s="85">
        <f t="shared" si="52"/>
        <v>0</v>
      </c>
      <c r="K151" s="89">
        <v>31.32</v>
      </c>
      <c r="L151" s="87">
        <f>L156+L157+L158+L159</f>
        <v>5567</v>
      </c>
      <c r="M151" s="88"/>
      <c r="N151" s="88"/>
      <c r="O151" s="88"/>
      <c r="P151" s="88"/>
      <c r="Q151" s="88"/>
      <c r="R151" s="88"/>
      <c r="S151" s="88"/>
      <c r="T151" s="88"/>
      <c r="Y151" s="49"/>
    </row>
    <row r="152" spans="1:25" s="41" customFormat="1" ht="116.25" customHeight="1" thickBot="1">
      <c r="A152" s="84"/>
      <c r="B152" s="21" t="s">
        <v>102</v>
      </c>
      <c r="C152" s="86"/>
      <c r="D152" s="86"/>
      <c r="E152" s="86"/>
      <c r="F152" s="86"/>
      <c r="G152" s="86"/>
      <c r="H152" s="86"/>
      <c r="I152" s="86"/>
      <c r="J152" s="86"/>
      <c r="K152" s="90"/>
      <c r="L152" s="87"/>
      <c r="M152" s="88"/>
      <c r="N152" s="88"/>
      <c r="O152" s="88"/>
      <c r="P152" s="88"/>
      <c r="Q152" s="88"/>
      <c r="R152" s="88"/>
      <c r="S152" s="88"/>
      <c r="T152" s="88"/>
      <c r="U152" s="41">
        <v>5.6</v>
      </c>
      <c r="Y152" s="49"/>
    </row>
    <row r="153" spans="1:25" s="41" customFormat="1" ht="71.25" customHeight="1" thickBot="1">
      <c r="A153" s="80">
        <v>100</v>
      </c>
      <c r="B153" s="51" t="s">
        <v>103</v>
      </c>
      <c r="C153" s="25">
        <v>1508.3</v>
      </c>
      <c r="D153" s="25">
        <v>0</v>
      </c>
      <c r="E153" s="25">
        <v>1508.3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50"/>
      <c r="L153" s="78"/>
      <c r="M153" s="79"/>
      <c r="N153" s="79"/>
      <c r="O153" s="79"/>
      <c r="P153" s="79"/>
      <c r="Q153" s="79"/>
      <c r="R153" s="79"/>
      <c r="S153" s="79"/>
      <c r="T153" s="79"/>
      <c r="Y153" s="49"/>
    </row>
    <row r="154" spans="1:25" s="41" customFormat="1" ht="16.5" thickBot="1">
      <c r="A154" s="80">
        <v>101</v>
      </c>
      <c r="B154" s="21" t="s">
        <v>98</v>
      </c>
      <c r="C154" s="25">
        <f aca="true" t="shared" si="53" ref="C154:C159">D154+E154+F154+G154+H154+I154+J154</f>
        <v>545.4</v>
      </c>
      <c r="D154" s="24">
        <v>0</v>
      </c>
      <c r="E154" s="24">
        <v>545.4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40"/>
      <c r="L154" s="81">
        <f>-18108</f>
        <v>-18108</v>
      </c>
      <c r="M154" s="82"/>
      <c r="N154" s="82"/>
      <c r="O154" s="82"/>
      <c r="P154" s="82"/>
      <c r="Q154" s="82"/>
      <c r="R154" s="82"/>
      <c r="S154" s="82"/>
      <c r="T154" s="82"/>
      <c r="U154" s="42">
        <v>-18.1</v>
      </c>
      <c r="Y154" s="49">
        <v>545.5</v>
      </c>
    </row>
    <row r="155" spans="1:25" s="41" customFormat="1" ht="48" thickBot="1">
      <c r="A155" s="80">
        <v>102</v>
      </c>
      <c r="B155" s="21" t="s">
        <v>44</v>
      </c>
      <c r="C155" s="25">
        <f t="shared" si="53"/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40"/>
      <c r="L155" s="81">
        <f>18108</f>
        <v>18108</v>
      </c>
      <c r="M155" s="82"/>
      <c r="N155" s="82"/>
      <c r="O155" s="82"/>
      <c r="P155" s="82"/>
      <c r="Q155" s="82"/>
      <c r="R155" s="82"/>
      <c r="S155" s="82"/>
      <c r="T155" s="82"/>
      <c r="U155" s="42">
        <v>18.1</v>
      </c>
      <c r="Y155" s="49"/>
    </row>
    <row r="156" spans="1:25" s="41" customFormat="1" ht="16.5" thickBot="1">
      <c r="A156" s="80">
        <v>103</v>
      </c>
      <c r="B156" s="21" t="s">
        <v>15</v>
      </c>
      <c r="C156" s="25">
        <f t="shared" si="53"/>
        <v>512.8</v>
      </c>
      <c r="D156" s="24">
        <v>0</v>
      </c>
      <c r="E156" s="24">
        <f>Y156</f>
        <v>512.8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40"/>
      <c r="L156" s="81">
        <f>-18108</f>
        <v>-18108</v>
      </c>
      <c r="M156" s="82"/>
      <c r="N156" s="82"/>
      <c r="O156" s="82"/>
      <c r="P156" s="82"/>
      <c r="Q156" s="82"/>
      <c r="R156" s="82"/>
      <c r="S156" s="82"/>
      <c r="T156" s="82"/>
      <c r="U156" s="42">
        <v>-18.1</v>
      </c>
      <c r="Y156" s="49">
        <v>512.8</v>
      </c>
    </row>
    <row r="157" spans="1:25" s="41" customFormat="1" ht="48" thickBot="1">
      <c r="A157" s="80">
        <v>104</v>
      </c>
      <c r="B157" s="21" t="s">
        <v>44</v>
      </c>
      <c r="C157" s="25">
        <f t="shared" si="53"/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40"/>
      <c r="L157" s="81">
        <f>18108</f>
        <v>18108</v>
      </c>
      <c r="M157" s="82"/>
      <c r="N157" s="82"/>
      <c r="O157" s="82"/>
      <c r="P157" s="82"/>
      <c r="Q157" s="82"/>
      <c r="R157" s="82"/>
      <c r="S157" s="82"/>
      <c r="T157" s="82"/>
      <c r="U157" s="42">
        <v>18.1</v>
      </c>
      <c r="Y157" s="49"/>
    </row>
    <row r="158" spans="1:32" s="41" customFormat="1" ht="21" customHeight="1" thickBot="1">
      <c r="A158" s="80">
        <v>105</v>
      </c>
      <c r="B158" s="21" t="s">
        <v>16</v>
      </c>
      <c r="C158" s="25">
        <f t="shared" si="53"/>
        <v>154.39999999999998</v>
      </c>
      <c r="D158" s="24">
        <v>0</v>
      </c>
      <c r="E158" s="24">
        <f>V158+Y158+AB158+AC158</f>
        <v>154.39999999999998</v>
      </c>
      <c r="F158" s="24">
        <f>200+AF158</f>
        <v>0</v>
      </c>
      <c r="G158" s="24">
        <v>0</v>
      </c>
      <c r="H158" s="24">
        <v>0</v>
      </c>
      <c r="I158" s="24">
        <f>H158</f>
        <v>0</v>
      </c>
      <c r="J158" s="24">
        <f>I158</f>
        <v>0</v>
      </c>
      <c r="K158" s="40"/>
      <c r="L158" s="81">
        <f>-16541+4000</f>
        <v>-12541</v>
      </c>
      <c r="M158" s="82"/>
      <c r="N158" s="82"/>
      <c r="O158" s="82"/>
      <c r="P158" s="82"/>
      <c r="Q158" s="82"/>
      <c r="R158" s="82"/>
      <c r="S158" s="82"/>
      <c r="T158" s="82"/>
      <c r="U158" s="41">
        <v>-12.5</v>
      </c>
      <c r="V158" s="41">
        <v>700</v>
      </c>
      <c r="Y158" s="49">
        <v>-250</v>
      </c>
      <c r="AB158" s="41">
        <v>-292.3</v>
      </c>
      <c r="AC158" s="41">
        <v>-3.3</v>
      </c>
      <c r="AF158" s="41">
        <v>-200</v>
      </c>
    </row>
    <row r="159" spans="1:25" s="41" customFormat="1" ht="48" thickBot="1">
      <c r="A159" s="80">
        <v>106</v>
      </c>
      <c r="B159" s="21" t="s">
        <v>44</v>
      </c>
      <c r="C159" s="25">
        <f t="shared" si="53"/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f>H159</f>
        <v>0</v>
      </c>
      <c r="J159" s="24">
        <f>I159</f>
        <v>0</v>
      </c>
      <c r="K159" s="40"/>
      <c r="L159" s="81">
        <f>18108</f>
        <v>18108</v>
      </c>
      <c r="M159" s="82"/>
      <c r="N159" s="82"/>
      <c r="O159" s="82"/>
      <c r="P159" s="82"/>
      <c r="Q159" s="82"/>
      <c r="R159" s="82"/>
      <c r="S159" s="82"/>
      <c r="T159" s="82"/>
      <c r="U159" s="41">
        <v>18.1</v>
      </c>
      <c r="Y159" s="49"/>
    </row>
    <row r="160" spans="1:25" s="41" customFormat="1" ht="15.75" customHeight="1">
      <c r="A160" s="83">
        <v>107</v>
      </c>
      <c r="B160" s="27" t="s">
        <v>100</v>
      </c>
      <c r="C160" s="85">
        <f aca="true" t="shared" si="54" ref="C160:J160">C164+C166+C162</f>
        <v>1087.9</v>
      </c>
      <c r="D160" s="85">
        <f t="shared" si="54"/>
        <v>0</v>
      </c>
      <c r="E160" s="85">
        <f t="shared" si="54"/>
        <v>1087.9</v>
      </c>
      <c r="F160" s="85">
        <f t="shared" si="54"/>
        <v>0</v>
      </c>
      <c r="G160" s="85">
        <f t="shared" si="54"/>
        <v>0</v>
      </c>
      <c r="H160" s="85">
        <f t="shared" si="54"/>
        <v>0</v>
      </c>
      <c r="I160" s="85">
        <f t="shared" si="54"/>
        <v>0</v>
      </c>
      <c r="J160" s="85">
        <f t="shared" si="54"/>
        <v>0</v>
      </c>
      <c r="K160" s="89"/>
      <c r="L160" s="87">
        <f>L164+L165+L166+L167</f>
        <v>5567</v>
      </c>
      <c r="M160" s="88"/>
      <c r="N160" s="88"/>
      <c r="O160" s="88"/>
      <c r="P160" s="88"/>
      <c r="Q160" s="88"/>
      <c r="R160" s="88"/>
      <c r="S160" s="88"/>
      <c r="T160" s="88"/>
      <c r="Y160" s="49"/>
    </row>
    <row r="161" spans="1:25" s="41" customFormat="1" ht="74.25" customHeight="1" thickBot="1">
      <c r="A161" s="84"/>
      <c r="B161" s="21" t="s">
        <v>101</v>
      </c>
      <c r="C161" s="86"/>
      <c r="D161" s="86"/>
      <c r="E161" s="86"/>
      <c r="F161" s="86"/>
      <c r="G161" s="86"/>
      <c r="H161" s="86"/>
      <c r="I161" s="86"/>
      <c r="J161" s="86"/>
      <c r="K161" s="90"/>
      <c r="L161" s="87"/>
      <c r="M161" s="88"/>
      <c r="N161" s="88"/>
      <c r="O161" s="88"/>
      <c r="P161" s="88"/>
      <c r="Q161" s="88"/>
      <c r="R161" s="88"/>
      <c r="S161" s="88"/>
      <c r="T161" s="88"/>
      <c r="U161" s="41">
        <v>5.6</v>
      </c>
      <c r="Y161" s="49"/>
    </row>
    <row r="162" spans="1:28" s="41" customFormat="1" ht="16.5" thickBot="1">
      <c r="A162" s="80">
        <v>108</v>
      </c>
      <c r="B162" s="21" t="s">
        <v>98</v>
      </c>
      <c r="C162" s="25">
        <f aca="true" t="shared" si="55" ref="C162:C167">D162+E162+F162+G162+H162+I162+J162</f>
        <v>698</v>
      </c>
      <c r="D162" s="24">
        <v>0</v>
      </c>
      <c r="E162" s="24">
        <f>Y162+AB162</f>
        <v>698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40"/>
      <c r="L162" s="81">
        <f>-18108</f>
        <v>-18108</v>
      </c>
      <c r="M162" s="82"/>
      <c r="N162" s="82"/>
      <c r="O162" s="82"/>
      <c r="P162" s="82"/>
      <c r="Q162" s="82"/>
      <c r="R162" s="82"/>
      <c r="S162" s="82"/>
      <c r="T162" s="82"/>
      <c r="U162" s="42">
        <v>-18.1</v>
      </c>
      <c r="Y162" s="49"/>
      <c r="AB162" s="41">
        <v>698</v>
      </c>
    </row>
    <row r="163" spans="1:28" s="41" customFormat="1" ht="48" thickBot="1">
      <c r="A163" s="80">
        <v>109</v>
      </c>
      <c r="B163" s="21" t="s">
        <v>44</v>
      </c>
      <c r="C163" s="25">
        <f t="shared" si="55"/>
        <v>698</v>
      </c>
      <c r="D163" s="24">
        <v>0</v>
      </c>
      <c r="E163" s="24">
        <f>AB163</f>
        <v>698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40"/>
      <c r="L163" s="81">
        <f>18108</f>
        <v>18108</v>
      </c>
      <c r="M163" s="82"/>
      <c r="N163" s="82"/>
      <c r="O163" s="82"/>
      <c r="P163" s="82"/>
      <c r="Q163" s="82"/>
      <c r="R163" s="82"/>
      <c r="S163" s="82"/>
      <c r="T163" s="82"/>
      <c r="U163" s="42">
        <v>18.1</v>
      </c>
      <c r="Y163" s="49"/>
      <c r="AB163" s="41">
        <v>698</v>
      </c>
    </row>
    <row r="164" spans="1:28" s="41" customFormat="1" ht="16.5" thickBot="1">
      <c r="A164" s="80">
        <v>110</v>
      </c>
      <c r="B164" s="21" t="s">
        <v>15</v>
      </c>
      <c r="C164" s="25">
        <f t="shared" si="55"/>
        <v>299.2</v>
      </c>
      <c r="D164" s="24">
        <v>0</v>
      </c>
      <c r="E164" s="24">
        <f>Y164+AB164</f>
        <v>299.2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40"/>
      <c r="L164" s="81">
        <f>-18108</f>
        <v>-18108</v>
      </c>
      <c r="M164" s="82"/>
      <c r="N164" s="82"/>
      <c r="O164" s="82"/>
      <c r="P164" s="82"/>
      <c r="Q164" s="82"/>
      <c r="R164" s="82"/>
      <c r="S164" s="82"/>
      <c r="T164" s="82"/>
      <c r="U164" s="42">
        <v>-18.1</v>
      </c>
      <c r="Y164" s="49"/>
      <c r="AB164" s="41">
        <v>299.2</v>
      </c>
    </row>
    <row r="165" spans="1:28" s="41" customFormat="1" ht="48" thickBot="1">
      <c r="A165" s="80">
        <v>111</v>
      </c>
      <c r="B165" s="21" t="s">
        <v>44</v>
      </c>
      <c r="C165" s="25">
        <f t="shared" si="55"/>
        <v>299.2</v>
      </c>
      <c r="D165" s="24">
        <v>0</v>
      </c>
      <c r="E165" s="24">
        <f>AB165</f>
        <v>299.2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40"/>
      <c r="L165" s="81">
        <f>18108</f>
        <v>18108</v>
      </c>
      <c r="M165" s="82"/>
      <c r="N165" s="82"/>
      <c r="O165" s="82"/>
      <c r="P165" s="82"/>
      <c r="Q165" s="82"/>
      <c r="R165" s="82"/>
      <c r="S165" s="82"/>
      <c r="T165" s="82"/>
      <c r="U165" s="42">
        <v>18.1</v>
      </c>
      <c r="Y165" s="49"/>
      <c r="AB165" s="41">
        <v>299.2</v>
      </c>
    </row>
    <row r="166" spans="1:25" s="41" customFormat="1" ht="21" customHeight="1" thickBot="1">
      <c r="A166" s="80">
        <v>112</v>
      </c>
      <c r="B166" s="21" t="s">
        <v>16</v>
      </c>
      <c r="C166" s="25">
        <f t="shared" si="55"/>
        <v>90.7</v>
      </c>
      <c r="D166" s="24">
        <v>0</v>
      </c>
      <c r="E166" s="24">
        <f>V166+Y166</f>
        <v>90.7</v>
      </c>
      <c r="F166" s="24">
        <v>0</v>
      </c>
      <c r="G166" s="24">
        <v>0</v>
      </c>
      <c r="H166" s="24">
        <v>0</v>
      </c>
      <c r="I166" s="24">
        <f>H166</f>
        <v>0</v>
      </c>
      <c r="J166" s="24">
        <f>I166</f>
        <v>0</v>
      </c>
      <c r="K166" s="40"/>
      <c r="L166" s="81">
        <f>-16541+4000</f>
        <v>-12541</v>
      </c>
      <c r="M166" s="82"/>
      <c r="N166" s="82"/>
      <c r="O166" s="82"/>
      <c r="P166" s="82"/>
      <c r="Q166" s="82"/>
      <c r="R166" s="82"/>
      <c r="S166" s="82"/>
      <c r="T166" s="82"/>
      <c r="U166" s="41">
        <v>-12.5</v>
      </c>
      <c r="Y166" s="49">
        <v>90.7</v>
      </c>
    </row>
    <row r="167" spans="1:25" s="41" customFormat="1" ht="48" thickBot="1">
      <c r="A167" s="80">
        <v>113</v>
      </c>
      <c r="B167" s="21" t="s">
        <v>44</v>
      </c>
      <c r="C167" s="25">
        <f t="shared" si="55"/>
        <v>90.7</v>
      </c>
      <c r="D167" s="24">
        <v>0</v>
      </c>
      <c r="E167" s="24">
        <f>V167+Y167</f>
        <v>90.7</v>
      </c>
      <c r="F167" s="24">
        <v>0</v>
      </c>
      <c r="G167" s="24">
        <v>0</v>
      </c>
      <c r="H167" s="24">
        <v>0</v>
      </c>
      <c r="I167" s="24">
        <f>H167</f>
        <v>0</v>
      </c>
      <c r="J167" s="24">
        <f>I167</f>
        <v>0</v>
      </c>
      <c r="K167" s="40"/>
      <c r="L167" s="81">
        <f>18108</f>
        <v>18108</v>
      </c>
      <c r="M167" s="82"/>
      <c r="N167" s="82"/>
      <c r="O167" s="82"/>
      <c r="P167" s="82"/>
      <c r="Q167" s="82"/>
      <c r="R167" s="82"/>
      <c r="S167" s="82"/>
      <c r="T167" s="82"/>
      <c r="U167" s="41">
        <v>18.1</v>
      </c>
      <c r="Y167" s="49">
        <v>90.7</v>
      </c>
    </row>
    <row r="168" spans="1:20" ht="31.5" customHeight="1" thickBot="1">
      <c r="A168" s="77">
        <v>114</v>
      </c>
      <c r="B168" s="120" t="s">
        <v>27</v>
      </c>
      <c r="C168" s="121"/>
      <c r="D168" s="121"/>
      <c r="E168" s="121"/>
      <c r="F168" s="121"/>
      <c r="G168" s="121"/>
      <c r="H168" s="121"/>
      <c r="I168" s="121"/>
      <c r="J168" s="121"/>
      <c r="K168" s="122"/>
      <c r="L168" s="91"/>
      <c r="M168" s="92"/>
      <c r="N168" s="92"/>
      <c r="O168" s="92"/>
      <c r="P168" s="92"/>
      <c r="Q168" s="92"/>
      <c r="R168" s="92"/>
      <c r="S168" s="92"/>
      <c r="T168" s="92"/>
    </row>
    <row r="169" spans="1:31" s="41" customFormat="1" ht="48" thickBot="1">
      <c r="A169" s="77">
        <v>115</v>
      </c>
      <c r="B169" s="8" t="s">
        <v>20</v>
      </c>
      <c r="C169" s="23">
        <f>C170+C172</f>
        <v>131620</v>
      </c>
      <c r="D169" s="23">
        <f aca="true" t="shared" si="56" ref="D169:J169">D170+D172</f>
        <v>14509.700000000003</v>
      </c>
      <c r="E169" s="23">
        <f t="shared" si="56"/>
        <v>17940.399999999998</v>
      </c>
      <c r="F169" s="23">
        <f>F170+F172+F200</f>
        <v>22136.600000000002</v>
      </c>
      <c r="G169" s="23">
        <f t="shared" si="56"/>
        <v>19288</v>
      </c>
      <c r="H169" s="23">
        <f t="shared" si="56"/>
        <v>19288</v>
      </c>
      <c r="I169" s="23">
        <f t="shared" si="56"/>
        <v>19288</v>
      </c>
      <c r="J169" s="23">
        <f t="shared" si="56"/>
        <v>19288</v>
      </c>
      <c r="K169" s="32"/>
      <c r="L169" s="91"/>
      <c r="M169" s="92"/>
      <c r="N169" s="92"/>
      <c r="O169" s="92"/>
      <c r="P169" s="92"/>
      <c r="Q169" s="92"/>
      <c r="R169" s="92"/>
      <c r="S169" s="92"/>
      <c r="T169" s="92"/>
      <c r="U169"/>
      <c r="V169"/>
      <c r="W169"/>
      <c r="X169"/>
      <c r="Y169" s="49"/>
      <c r="AC169"/>
      <c r="AD169"/>
      <c r="AE169"/>
    </row>
    <row r="170" spans="1:31" s="41" customFormat="1" ht="16.5" thickBot="1">
      <c r="A170" s="77">
        <v>116</v>
      </c>
      <c r="B170" s="8" t="s">
        <v>15</v>
      </c>
      <c r="C170" s="22">
        <f aca="true" t="shared" si="57" ref="C170:J171">C178+C196+C191</f>
        <v>130</v>
      </c>
      <c r="D170" s="22">
        <f t="shared" si="57"/>
        <v>66.6</v>
      </c>
      <c r="E170" s="22">
        <f t="shared" si="57"/>
        <v>0</v>
      </c>
      <c r="F170" s="22">
        <f t="shared" si="57"/>
        <v>63.4</v>
      </c>
      <c r="G170" s="22">
        <f t="shared" si="57"/>
        <v>0</v>
      </c>
      <c r="H170" s="22">
        <f t="shared" si="57"/>
        <v>0</v>
      </c>
      <c r="I170" s="22">
        <f t="shared" si="57"/>
        <v>0</v>
      </c>
      <c r="J170" s="22">
        <f t="shared" si="57"/>
        <v>0</v>
      </c>
      <c r="K170" s="32"/>
      <c r="L170" s="91"/>
      <c r="M170" s="92"/>
      <c r="N170" s="92"/>
      <c r="O170" s="92"/>
      <c r="P170" s="92"/>
      <c r="Q170" s="92"/>
      <c r="R170" s="92"/>
      <c r="S170" s="92"/>
      <c r="T170" s="92"/>
      <c r="U170"/>
      <c r="V170"/>
      <c r="W170"/>
      <c r="X170"/>
      <c r="Y170" s="49"/>
      <c r="AC170"/>
      <c r="AD170"/>
      <c r="AE170"/>
    </row>
    <row r="171" spans="1:31" s="41" customFormat="1" ht="48" thickBot="1">
      <c r="A171" s="77">
        <v>117</v>
      </c>
      <c r="B171" s="8" t="s">
        <v>44</v>
      </c>
      <c r="C171" s="22">
        <f t="shared" si="57"/>
        <v>130</v>
      </c>
      <c r="D171" s="22">
        <f t="shared" si="57"/>
        <v>66.6</v>
      </c>
      <c r="E171" s="22">
        <f t="shared" si="57"/>
        <v>0</v>
      </c>
      <c r="F171" s="22">
        <f t="shared" si="57"/>
        <v>63.4</v>
      </c>
      <c r="G171" s="22">
        <f t="shared" si="57"/>
        <v>0</v>
      </c>
      <c r="H171" s="22">
        <f t="shared" si="57"/>
        <v>0</v>
      </c>
      <c r="I171" s="22">
        <f t="shared" si="57"/>
        <v>0</v>
      </c>
      <c r="J171" s="22">
        <f t="shared" si="57"/>
        <v>0</v>
      </c>
      <c r="K171" s="32"/>
      <c r="L171" s="91"/>
      <c r="M171" s="92"/>
      <c r="N171" s="92"/>
      <c r="O171" s="92"/>
      <c r="P171" s="92"/>
      <c r="Q171" s="92"/>
      <c r="R171" s="92"/>
      <c r="S171" s="92"/>
      <c r="T171" s="92"/>
      <c r="U171"/>
      <c r="V171"/>
      <c r="W171"/>
      <c r="X171"/>
      <c r="Y171" s="49"/>
      <c r="AC171"/>
      <c r="AD171"/>
      <c r="AE171"/>
    </row>
    <row r="172" spans="1:31" s="41" customFormat="1" ht="16.5" thickBot="1">
      <c r="A172" s="77">
        <v>118</v>
      </c>
      <c r="B172" s="8" t="s">
        <v>16</v>
      </c>
      <c r="C172" s="22">
        <f aca="true" t="shared" si="58" ref="C172:J173">C180+C184+C187+C193+C198</f>
        <v>131490</v>
      </c>
      <c r="D172" s="43">
        <f t="shared" si="58"/>
        <v>14443.100000000002</v>
      </c>
      <c r="E172" s="22">
        <f t="shared" si="58"/>
        <v>17940.399999999998</v>
      </c>
      <c r="F172" s="22">
        <f t="shared" si="58"/>
        <v>21954.5</v>
      </c>
      <c r="G172" s="22">
        <f t="shared" si="58"/>
        <v>19288</v>
      </c>
      <c r="H172" s="22">
        <f t="shared" si="58"/>
        <v>19288</v>
      </c>
      <c r="I172" s="22">
        <f t="shared" si="58"/>
        <v>19288</v>
      </c>
      <c r="J172" s="22">
        <f t="shared" si="58"/>
        <v>19288</v>
      </c>
      <c r="K172" s="32"/>
      <c r="L172" s="91"/>
      <c r="M172" s="92"/>
      <c r="N172" s="92"/>
      <c r="O172" s="92"/>
      <c r="P172" s="92"/>
      <c r="Q172" s="92"/>
      <c r="R172" s="92"/>
      <c r="S172" s="92"/>
      <c r="T172" s="92"/>
      <c r="U172"/>
      <c r="V172"/>
      <c r="W172"/>
      <c r="X172"/>
      <c r="Y172" s="49"/>
      <c r="AC172"/>
      <c r="AD172"/>
      <c r="AE172"/>
    </row>
    <row r="173" spans="1:31" s="41" customFormat="1" ht="48" thickBot="1">
      <c r="A173" s="77">
        <v>119</v>
      </c>
      <c r="B173" s="8" t="s">
        <v>44</v>
      </c>
      <c r="C173" s="22">
        <f t="shared" si="58"/>
        <v>131490</v>
      </c>
      <c r="D173" s="43">
        <f t="shared" si="58"/>
        <v>14443.100000000002</v>
      </c>
      <c r="E173" s="22">
        <f t="shared" si="58"/>
        <v>17940.399999999998</v>
      </c>
      <c r="F173" s="22">
        <f t="shared" si="58"/>
        <v>21954.5</v>
      </c>
      <c r="G173" s="22">
        <f t="shared" si="58"/>
        <v>19288</v>
      </c>
      <c r="H173" s="22">
        <f t="shared" si="58"/>
        <v>19288</v>
      </c>
      <c r="I173" s="22">
        <f t="shared" si="58"/>
        <v>19288</v>
      </c>
      <c r="J173" s="22">
        <f t="shared" si="58"/>
        <v>19288</v>
      </c>
      <c r="K173" s="32"/>
      <c r="L173" s="91"/>
      <c r="M173" s="92"/>
      <c r="N173" s="92"/>
      <c r="O173" s="92"/>
      <c r="P173" s="92"/>
      <c r="Q173" s="92"/>
      <c r="R173" s="92"/>
      <c r="S173" s="92"/>
      <c r="T173" s="92"/>
      <c r="U173"/>
      <c r="V173"/>
      <c r="W173"/>
      <c r="X173"/>
      <c r="Y173" s="49"/>
      <c r="AC173"/>
      <c r="AD173"/>
      <c r="AE173"/>
    </row>
    <row r="174" spans="1:31" s="41" customFormat="1" ht="16.5" customHeight="1" hidden="1" thickBot="1">
      <c r="A174" s="77"/>
      <c r="B174" s="8" t="s">
        <v>17</v>
      </c>
      <c r="C174" s="22"/>
      <c r="D174" s="22"/>
      <c r="E174" s="22"/>
      <c r="F174" s="22"/>
      <c r="G174" s="22"/>
      <c r="H174" s="22"/>
      <c r="I174" s="22"/>
      <c r="J174" s="22"/>
      <c r="K174" s="32"/>
      <c r="L174" s="91"/>
      <c r="M174" s="92"/>
      <c r="N174" s="92"/>
      <c r="O174" s="92"/>
      <c r="P174" s="92"/>
      <c r="Q174" s="92"/>
      <c r="R174" s="92"/>
      <c r="S174" s="92"/>
      <c r="T174" s="92"/>
      <c r="U174"/>
      <c r="V174"/>
      <c r="W174"/>
      <c r="X174"/>
      <c r="Y174" s="49"/>
      <c r="AC174"/>
      <c r="AD174"/>
      <c r="AE174"/>
    </row>
    <row r="175" spans="1:31" s="41" customFormat="1" ht="16.5" customHeight="1" hidden="1" thickBot="1">
      <c r="A175" s="77"/>
      <c r="B175" s="8" t="s">
        <v>16</v>
      </c>
      <c r="C175" s="22"/>
      <c r="D175" s="22"/>
      <c r="E175" s="22"/>
      <c r="F175" s="22"/>
      <c r="G175" s="22"/>
      <c r="H175" s="22"/>
      <c r="I175" s="22"/>
      <c r="J175" s="22"/>
      <c r="K175" s="32"/>
      <c r="L175" s="91"/>
      <c r="M175" s="92"/>
      <c r="N175" s="92"/>
      <c r="O175" s="92"/>
      <c r="P175" s="92"/>
      <c r="Q175" s="92"/>
      <c r="R175" s="92"/>
      <c r="S175" s="92"/>
      <c r="T175" s="92"/>
      <c r="U175"/>
      <c r="V175"/>
      <c r="W175"/>
      <c r="X175"/>
      <c r="Y175" s="49"/>
      <c r="AC175"/>
      <c r="AD175"/>
      <c r="AE175"/>
    </row>
    <row r="176" spans="1:31" s="41" customFormat="1" ht="32.25" customHeight="1" hidden="1" thickBot="1">
      <c r="A176" s="77"/>
      <c r="B176" s="8" t="s">
        <v>18</v>
      </c>
      <c r="C176" s="22"/>
      <c r="D176" s="22"/>
      <c r="E176" s="22"/>
      <c r="F176" s="22"/>
      <c r="G176" s="22"/>
      <c r="H176" s="22"/>
      <c r="I176" s="22"/>
      <c r="J176" s="22"/>
      <c r="K176" s="32"/>
      <c r="L176" s="91"/>
      <c r="M176" s="92"/>
      <c r="N176" s="92"/>
      <c r="O176" s="92"/>
      <c r="P176" s="92"/>
      <c r="Q176" s="92"/>
      <c r="R176" s="92"/>
      <c r="S176" s="92"/>
      <c r="T176" s="92"/>
      <c r="U176"/>
      <c r="V176"/>
      <c r="W176"/>
      <c r="X176"/>
      <c r="Y176" s="49"/>
      <c r="AC176"/>
      <c r="AD176"/>
      <c r="AE176"/>
    </row>
    <row r="177" spans="1:31" s="41" customFormat="1" ht="145.5" customHeight="1" thickBot="1">
      <c r="A177" s="77">
        <v>120</v>
      </c>
      <c r="B177" s="31" t="s">
        <v>69</v>
      </c>
      <c r="C177" s="23">
        <f>C178+C180</f>
        <v>127054.09999999999</v>
      </c>
      <c r="D177" s="23">
        <f aca="true" t="shared" si="59" ref="D177:J177">D178+D180</f>
        <v>13583.7</v>
      </c>
      <c r="E177" s="23">
        <f t="shared" si="59"/>
        <v>17132.399999999998</v>
      </c>
      <c r="F177" s="23">
        <f t="shared" si="59"/>
        <v>19437.2</v>
      </c>
      <c r="G177" s="23">
        <f t="shared" si="59"/>
        <v>19225.2</v>
      </c>
      <c r="H177" s="23">
        <f t="shared" si="59"/>
        <v>19225.2</v>
      </c>
      <c r="I177" s="23">
        <f t="shared" si="59"/>
        <v>19225.2</v>
      </c>
      <c r="J177" s="23">
        <f t="shared" si="59"/>
        <v>19225.2</v>
      </c>
      <c r="K177" s="32" t="s">
        <v>91</v>
      </c>
      <c r="L177" s="91"/>
      <c r="M177" s="92"/>
      <c r="N177" s="92"/>
      <c r="O177" s="92"/>
      <c r="P177" s="92"/>
      <c r="Q177" s="92"/>
      <c r="R177" s="92"/>
      <c r="S177" s="92"/>
      <c r="T177" s="92"/>
      <c r="U177"/>
      <c r="V177"/>
      <c r="W177"/>
      <c r="X177"/>
      <c r="Y177" s="49"/>
      <c r="AC177"/>
      <c r="AD177"/>
      <c r="AE177"/>
    </row>
    <row r="178" spans="1:31" s="41" customFormat="1" ht="16.5" thickBot="1">
      <c r="A178" s="77">
        <v>121</v>
      </c>
      <c r="B178" s="8" t="s">
        <v>15</v>
      </c>
      <c r="C178" s="23">
        <f>D178+E178+F178+G178+H178+I178+J178</f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32"/>
      <c r="L178" s="91"/>
      <c r="M178" s="92"/>
      <c r="N178" s="92"/>
      <c r="O178" s="92"/>
      <c r="P178" s="92"/>
      <c r="Q178" s="92"/>
      <c r="R178" s="92"/>
      <c r="S178" s="92"/>
      <c r="T178" s="92"/>
      <c r="U178"/>
      <c r="V178"/>
      <c r="W178"/>
      <c r="X178"/>
      <c r="Y178" s="49"/>
      <c r="AC178"/>
      <c r="AD178"/>
      <c r="AE178"/>
    </row>
    <row r="179" spans="1:31" s="41" customFormat="1" ht="48" thickBot="1">
      <c r="A179" s="77">
        <v>122</v>
      </c>
      <c r="B179" s="8" t="s">
        <v>44</v>
      </c>
      <c r="C179" s="23">
        <f>D179+E179+F179+G179+H179+I179+J179</f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32"/>
      <c r="L179" s="91"/>
      <c r="M179" s="92"/>
      <c r="N179" s="92"/>
      <c r="O179" s="92"/>
      <c r="P179" s="92"/>
      <c r="Q179" s="92"/>
      <c r="R179" s="92"/>
      <c r="S179" s="92"/>
      <c r="T179" s="92"/>
      <c r="U179"/>
      <c r="V179"/>
      <c r="W179"/>
      <c r="X179"/>
      <c r="Y179" s="49"/>
      <c r="AC179"/>
      <c r="AD179"/>
      <c r="AE179"/>
    </row>
    <row r="180" spans="1:31" s="41" customFormat="1" ht="16.5" thickBot="1">
      <c r="A180" s="77">
        <v>123</v>
      </c>
      <c r="B180" s="8" t="s">
        <v>24</v>
      </c>
      <c r="C180" s="23">
        <f>D180+E180+F180+G180+H180+I180+J180</f>
        <v>127054.09999999999</v>
      </c>
      <c r="D180" s="22">
        <f aca="true" t="shared" si="60" ref="D180:J180">D181</f>
        <v>13583.7</v>
      </c>
      <c r="E180" s="22">
        <f>E181</f>
        <v>17132.399999999998</v>
      </c>
      <c r="F180" s="22">
        <f>F181</f>
        <v>19437.2</v>
      </c>
      <c r="G180" s="22">
        <f t="shared" si="60"/>
        <v>19225.2</v>
      </c>
      <c r="H180" s="22">
        <f t="shared" si="60"/>
        <v>19225.2</v>
      </c>
      <c r="I180" s="22">
        <f t="shared" si="60"/>
        <v>19225.2</v>
      </c>
      <c r="J180" s="22">
        <f t="shared" si="60"/>
        <v>19225.2</v>
      </c>
      <c r="K180" s="32"/>
      <c r="L180" s="91"/>
      <c r="M180" s="92"/>
      <c r="N180" s="92"/>
      <c r="O180" s="92"/>
      <c r="P180" s="92"/>
      <c r="Q180" s="92"/>
      <c r="R180" s="92"/>
      <c r="S180" s="92"/>
      <c r="T180" s="92"/>
      <c r="U180"/>
      <c r="V180">
        <v>139.3</v>
      </c>
      <c r="W180">
        <v>-24.4</v>
      </c>
      <c r="X180"/>
      <c r="Y180" s="49"/>
      <c r="AA180" s="41">
        <v>-750</v>
      </c>
      <c r="AC180"/>
      <c r="AD180"/>
      <c r="AE180">
        <v>231.4</v>
      </c>
    </row>
    <row r="181" spans="1:32" s="41" customFormat="1" ht="48" thickBot="1">
      <c r="A181" s="77">
        <v>124</v>
      </c>
      <c r="B181" s="8" t="s">
        <v>44</v>
      </c>
      <c r="C181" s="23">
        <f>D181+E181+F181+G181+H181+I181+J181</f>
        <v>127054.09999999999</v>
      </c>
      <c r="D181" s="22">
        <f>16789.7-3501.1+295.1</f>
        <v>13583.7</v>
      </c>
      <c r="E181" s="22">
        <f>17437.8+V181+W181+AA181+AD181+AE181</f>
        <v>17132.399999999998</v>
      </c>
      <c r="F181" s="22">
        <f>19952.4+AF181</f>
        <v>19437.2</v>
      </c>
      <c r="G181" s="22">
        <v>19225.2</v>
      </c>
      <c r="H181" s="22">
        <f>G181</f>
        <v>19225.2</v>
      </c>
      <c r="I181" s="22">
        <f>H181</f>
        <v>19225.2</v>
      </c>
      <c r="J181" s="22">
        <f>I181</f>
        <v>19225.2</v>
      </c>
      <c r="K181" s="32"/>
      <c r="L181" s="91"/>
      <c r="M181" s="92"/>
      <c r="N181" s="92"/>
      <c r="O181" s="92"/>
      <c r="P181" s="92"/>
      <c r="Q181" s="92"/>
      <c r="R181" s="92"/>
      <c r="S181" s="92"/>
      <c r="T181" s="92"/>
      <c r="U181"/>
      <c r="V181">
        <v>139.3</v>
      </c>
      <c r="W181">
        <v>-24.4</v>
      </c>
      <c r="X181"/>
      <c r="Y181" s="49"/>
      <c r="AA181" s="41">
        <v>-750</v>
      </c>
      <c r="AC181"/>
      <c r="AD181">
        <v>98.3</v>
      </c>
      <c r="AE181">
        <v>231.4</v>
      </c>
      <c r="AF181" s="41">
        <v>-515.2</v>
      </c>
    </row>
    <row r="182" spans="1:31" s="41" customFormat="1" ht="15.75">
      <c r="A182" s="94">
        <v>125</v>
      </c>
      <c r="B182" s="12" t="s">
        <v>28</v>
      </c>
      <c r="C182" s="118">
        <f>C184</f>
        <v>0</v>
      </c>
      <c r="D182" s="118">
        <f>D184</f>
        <v>0</v>
      </c>
      <c r="E182" s="118">
        <f aca="true" t="shared" si="61" ref="E182:J182">E184</f>
        <v>0</v>
      </c>
      <c r="F182" s="118">
        <f t="shared" si="61"/>
        <v>0</v>
      </c>
      <c r="G182" s="118">
        <f t="shared" si="61"/>
        <v>0</v>
      </c>
      <c r="H182" s="118">
        <f t="shared" si="61"/>
        <v>0</v>
      </c>
      <c r="I182" s="118">
        <f t="shared" si="61"/>
        <v>0</v>
      </c>
      <c r="J182" s="118">
        <f t="shared" si="61"/>
        <v>0</v>
      </c>
      <c r="K182" s="107">
        <v>42.43</v>
      </c>
      <c r="L182" s="91"/>
      <c r="M182" s="92"/>
      <c r="N182" s="92"/>
      <c r="O182" s="92"/>
      <c r="P182" s="92"/>
      <c r="Q182" s="92"/>
      <c r="R182" s="92"/>
      <c r="S182" s="92"/>
      <c r="T182" s="92"/>
      <c r="U182"/>
      <c r="V182"/>
      <c r="W182"/>
      <c r="X182"/>
      <c r="Y182" s="49"/>
      <c r="AC182"/>
      <c r="AD182"/>
      <c r="AE182"/>
    </row>
    <row r="183" spans="1:31" s="41" customFormat="1" ht="95.25" thickBot="1">
      <c r="A183" s="95"/>
      <c r="B183" s="8" t="s">
        <v>70</v>
      </c>
      <c r="C183" s="119"/>
      <c r="D183" s="119"/>
      <c r="E183" s="119"/>
      <c r="F183" s="119"/>
      <c r="G183" s="119"/>
      <c r="H183" s="119"/>
      <c r="I183" s="119"/>
      <c r="J183" s="119"/>
      <c r="K183" s="108"/>
      <c r="L183" s="91"/>
      <c r="M183" s="92"/>
      <c r="N183" s="92"/>
      <c r="O183" s="92"/>
      <c r="P183" s="92"/>
      <c r="Q183" s="92"/>
      <c r="R183" s="92"/>
      <c r="S183" s="92"/>
      <c r="T183" s="92"/>
      <c r="U183"/>
      <c r="V183"/>
      <c r="W183"/>
      <c r="X183"/>
      <c r="Y183" s="49"/>
      <c r="AC183"/>
      <c r="AD183"/>
      <c r="AE183"/>
    </row>
    <row r="184" spans="1:31" s="41" customFormat="1" ht="16.5" thickBot="1">
      <c r="A184" s="77">
        <v>126</v>
      </c>
      <c r="B184" s="8" t="s">
        <v>16</v>
      </c>
      <c r="C184" s="23">
        <f>D184+E184+F184+G184+H184+I184+J184</f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32"/>
      <c r="L184" s="91"/>
      <c r="M184" s="92"/>
      <c r="N184" s="92"/>
      <c r="O184" s="92"/>
      <c r="P184" s="92"/>
      <c r="Q184" s="92"/>
      <c r="R184" s="92"/>
      <c r="S184" s="92"/>
      <c r="T184" s="92"/>
      <c r="U184"/>
      <c r="V184"/>
      <c r="W184"/>
      <c r="X184"/>
      <c r="Y184" s="49"/>
      <c r="AC184"/>
      <c r="AD184"/>
      <c r="AE184"/>
    </row>
    <row r="185" spans="1:20" ht="48" thickBot="1">
      <c r="A185" s="77">
        <v>127</v>
      </c>
      <c r="B185" s="8" t="s">
        <v>44</v>
      </c>
      <c r="C185" s="23">
        <f>D185+E185+F185+G185+H185+I185+J185</f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32"/>
      <c r="L185" s="91"/>
      <c r="M185" s="92"/>
      <c r="N185" s="92"/>
      <c r="O185" s="92"/>
      <c r="P185" s="92"/>
      <c r="Q185" s="92"/>
      <c r="R185" s="92"/>
      <c r="S185" s="92"/>
      <c r="T185" s="92"/>
    </row>
    <row r="186" spans="1:20" ht="79.5" thickBot="1">
      <c r="A186" s="77">
        <v>128</v>
      </c>
      <c r="B186" s="8" t="s">
        <v>50</v>
      </c>
      <c r="C186" s="23">
        <f>C187</f>
        <v>421.20000000000005</v>
      </c>
      <c r="D186" s="23">
        <f aca="true" t="shared" si="62" ref="D186:J187">D187</f>
        <v>48</v>
      </c>
      <c r="E186" s="23">
        <f t="shared" si="62"/>
        <v>57</v>
      </c>
      <c r="F186" s="23">
        <f t="shared" si="62"/>
        <v>65</v>
      </c>
      <c r="G186" s="23">
        <f t="shared" si="62"/>
        <v>62.8</v>
      </c>
      <c r="H186" s="23">
        <f t="shared" si="62"/>
        <v>62.8</v>
      </c>
      <c r="I186" s="23">
        <f t="shared" si="62"/>
        <v>62.8</v>
      </c>
      <c r="J186" s="23">
        <f t="shared" si="62"/>
        <v>62.8</v>
      </c>
      <c r="K186" s="32">
        <v>38.41</v>
      </c>
      <c r="L186" s="91"/>
      <c r="M186" s="92"/>
      <c r="N186" s="92"/>
      <c r="O186" s="92"/>
      <c r="P186" s="92"/>
      <c r="Q186" s="92"/>
      <c r="R186" s="92"/>
      <c r="S186" s="92"/>
      <c r="T186" s="92"/>
    </row>
    <row r="187" spans="1:20" ht="16.5" thickBot="1">
      <c r="A187" s="77">
        <v>129</v>
      </c>
      <c r="B187" s="8" t="s">
        <v>16</v>
      </c>
      <c r="C187" s="23">
        <f>D187+E187+F187+G187+H187+I187+J187</f>
        <v>421.20000000000005</v>
      </c>
      <c r="D187" s="22">
        <f>D188</f>
        <v>48</v>
      </c>
      <c r="E187" s="22">
        <f t="shared" si="62"/>
        <v>57</v>
      </c>
      <c r="F187" s="22">
        <v>65</v>
      </c>
      <c r="G187" s="22">
        <f t="shared" si="62"/>
        <v>62.8</v>
      </c>
      <c r="H187" s="22">
        <f t="shared" si="62"/>
        <v>62.8</v>
      </c>
      <c r="I187" s="22">
        <f t="shared" si="62"/>
        <v>62.8</v>
      </c>
      <c r="J187" s="22">
        <f t="shared" si="62"/>
        <v>62.8</v>
      </c>
      <c r="K187" s="32"/>
      <c r="L187" s="91"/>
      <c r="M187" s="92"/>
      <c r="N187" s="92"/>
      <c r="O187" s="92"/>
      <c r="P187" s="92"/>
      <c r="Q187" s="92"/>
      <c r="R187" s="92"/>
      <c r="S187" s="92"/>
      <c r="T187" s="92"/>
    </row>
    <row r="188" spans="1:20" ht="48" thickBot="1">
      <c r="A188" s="77">
        <v>130</v>
      </c>
      <c r="B188" s="8" t="s">
        <v>44</v>
      </c>
      <c r="C188" s="23">
        <f>D188+E188+F188+G188+H188+I188+J188</f>
        <v>421.20000000000005</v>
      </c>
      <c r="D188" s="22">
        <f>58-10</f>
        <v>48</v>
      </c>
      <c r="E188" s="22">
        <v>57</v>
      </c>
      <c r="F188" s="22">
        <v>65</v>
      </c>
      <c r="G188" s="22">
        <v>62.8</v>
      </c>
      <c r="H188" s="22">
        <f>G188</f>
        <v>62.8</v>
      </c>
      <c r="I188" s="22">
        <f>H188</f>
        <v>62.8</v>
      </c>
      <c r="J188" s="22">
        <f>I188</f>
        <v>62.8</v>
      </c>
      <c r="K188" s="32"/>
      <c r="L188" s="91"/>
      <c r="M188" s="92"/>
      <c r="N188" s="92"/>
      <c r="O188" s="92"/>
      <c r="P188" s="92"/>
      <c r="Q188" s="92"/>
      <c r="R188" s="92"/>
      <c r="S188" s="92"/>
      <c r="T188" s="92"/>
    </row>
    <row r="189" spans="1:20" ht="15.75">
      <c r="A189" s="94">
        <v>131</v>
      </c>
      <c r="B189" s="12" t="s">
        <v>29</v>
      </c>
      <c r="C189" s="118">
        <f>C191+C193</f>
        <v>4097</v>
      </c>
      <c r="D189" s="118">
        <f aca="true" t="shared" si="63" ref="D189:J189">D191+D193</f>
        <v>830.3000000000001</v>
      </c>
      <c r="E189" s="118">
        <f t="shared" si="63"/>
        <v>751</v>
      </c>
      <c r="F189" s="118">
        <f t="shared" si="63"/>
        <v>2515.7000000000003</v>
      </c>
      <c r="G189" s="118">
        <f t="shared" si="63"/>
        <v>0</v>
      </c>
      <c r="H189" s="118">
        <f t="shared" si="63"/>
        <v>0</v>
      </c>
      <c r="I189" s="118">
        <f t="shared" si="63"/>
        <v>0</v>
      </c>
      <c r="J189" s="118">
        <f t="shared" si="63"/>
        <v>0</v>
      </c>
      <c r="K189" s="107">
        <v>44.45</v>
      </c>
      <c r="L189" s="91"/>
      <c r="M189" s="92"/>
      <c r="N189" s="92"/>
      <c r="O189" s="92"/>
      <c r="P189" s="92"/>
      <c r="Q189" s="92"/>
      <c r="R189" s="92"/>
      <c r="S189" s="92"/>
      <c r="T189" s="92"/>
    </row>
    <row r="190" spans="1:20" ht="111" thickBot="1">
      <c r="A190" s="95"/>
      <c r="B190" s="8" t="s">
        <v>51</v>
      </c>
      <c r="C190" s="119"/>
      <c r="D190" s="119"/>
      <c r="E190" s="119"/>
      <c r="F190" s="119"/>
      <c r="G190" s="119"/>
      <c r="H190" s="119"/>
      <c r="I190" s="119"/>
      <c r="J190" s="119"/>
      <c r="K190" s="113"/>
      <c r="L190" s="91"/>
      <c r="M190" s="92"/>
      <c r="N190" s="92"/>
      <c r="O190" s="92"/>
      <c r="P190" s="92"/>
      <c r="Q190" s="92"/>
      <c r="R190" s="92"/>
      <c r="S190" s="92"/>
      <c r="T190" s="92"/>
    </row>
    <row r="191" spans="1:20" ht="16.5" thickBot="1">
      <c r="A191" s="77">
        <v>132</v>
      </c>
      <c r="B191" s="8" t="s">
        <v>15</v>
      </c>
      <c r="C191" s="23">
        <f>D191+E191+F191+G191+H191+I191+J191</f>
        <v>130</v>
      </c>
      <c r="D191" s="43">
        <v>66.6</v>
      </c>
      <c r="E191" s="22">
        <v>0</v>
      </c>
      <c r="F191" s="22">
        <f>F192</f>
        <v>63.4</v>
      </c>
      <c r="G191" s="22">
        <v>0</v>
      </c>
      <c r="H191" s="22">
        <v>0</v>
      </c>
      <c r="I191" s="22">
        <v>0</v>
      </c>
      <c r="J191" s="22">
        <v>0</v>
      </c>
      <c r="K191" s="32"/>
      <c r="L191" s="91"/>
      <c r="M191" s="92"/>
      <c r="N191" s="92"/>
      <c r="O191" s="92"/>
      <c r="P191" s="92"/>
      <c r="Q191" s="92"/>
      <c r="R191" s="92"/>
      <c r="S191" s="92"/>
      <c r="T191" s="92"/>
    </row>
    <row r="192" spans="1:32" ht="48" thickBot="1">
      <c r="A192" s="94">
        <v>133</v>
      </c>
      <c r="B192" s="8" t="s">
        <v>44</v>
      </c>
      <c r="C192" s="23">
        <f>D192+E192+F192+G192+H192+I192+J192</f>
        <v>130</v>
      </c>
      <c r="D192" s="43">
        <v>66.6</v>
      </c>
      <c r="E192" s="22">
        <v>0</v>
      </c>
      <c r="F192" s="22">
        <f>AF192</f>
        <v>63.4</v>
      </c>
      <c r="G192" s="22">
        <v>0</v>
      </c>
      <c r="H192" s="22">
        <v>0</v>
      </c>
      <c r="I192" s="22">
        <v>0</v>
      </c>
      <c r="J192" s="22">
        <v>0</v>
      </c>
      <c r="K192" s="32"/>
      <c r="L192" s="91"/>
      <c r="M192" s="92"/>
      <c r="N192" s="92"/>
      <c r="O192" s="92"/>
      <c r="P192" s="92"/>
      <c r="Q192" s="92"/>
      <c r="R192" s="92"/>
      <c r="S192" s="92"/>
      <c r="T192" s="92"/>
      <c r="AF192">
        <v>63.4</v>
      </c>
    </row>
    <row r="193" spans="1:23" ht="16.5" thickBot="1">
      <c r="A193" s="117"/>
      <c r="B193" s="8" t="s">
        <v>16</v>
      </c>
      <c r="C193" s="23">
        <f>D193+E193+F193+G193+H193+I193+J193</f>
        <v>3967</v>
      </c>
      <c r="D193" s="43">
        <f>D194</f>
        <v>763.7</v>
      </c>
      <c r="E193" s="22">
        <f aca="true" t="shared" si="64" ref="E193:J193">E194</f>
        <v>751</v>
      </c>
      <c r="F193" s="22">
        <f>F194</f>
        <v>2452.3</v>
      </c>
      <c r="G193" s="22">
        <f t="shared" si="64"/>
        <v>0</v>
      </c>
      <c r="H193" s="22">
        <f t="shared" si="64"/>
        <v>0</v>
      </c>
      <c r="I193" s="22">
        <f t="shared" si="64"/>
        <v>0</v>
      </c>
      <c r="J193" s="22">
        <f t="shared" si="64"/>
        <v>0</v>
      </c>
      <c r="K193" s="32"/>
      <c r="L193" s="91"/>
      <c r="M193" s="92"/>
      <c r="N193" s="92"/>
      <c r="O193" s="92"/>
      <c r="P193" s="92"/>
      <c r="Q193" s="92"/>
      <c r="R193" s="92"/>
      <c r="S193" s="92"/>
      <c r="T193" s="92"/>
      <c r="W193">
        <v>24.4</v>
      </c>
    </row>
    <row r="194" spans="1:32" ht="48" thickBot="1">
      <c r="A194" s="77">
        <v>134</v>
      </c>
      <c r="B194" s="8" t="s">
        <v>44</v>
      </c>
      <c r="C194" s="23">
        <f>D194+E194+F194+G194+H194+I194+J194</f>
        <v>3967</v>
      </c>
      <c r="D194" s="43">
        <f>941+44.4-221.7</f>
        <v>763.7</v>
      </c>
      <c r="E194" s="22">
        <f>726.6+W194</f>
        <v>751</v>
      </c>
      <c r="F194" s="22">
        <f>1968.8+AF194</f>
        <v>2452.3</v>
      </c>
      <c r="G194" s="22">
        <v>0</v>
      </c>
      <c r="H194" s="22">
        <v>0</v>
      </c>
      <c r="I194" s="22">
        <v>0</v>
      </c>
      <c r="J194" s="22">
        <v>0</v>
      </c>
      <c r="K194" s="33"/>
      <c r="L194" s="91"/>
      <c r="M194" s="92"/>
      <c r="N194" s="92"/>
      <c r="O194" s="92"/>
      <c r="P194" s="92"/>
      <c r="Q194" s="92"/>
      <c r="R194" s="92"/>
      <c r="S194" s="92"/>
      <c r="T194" s="92"/>
      <c r="W194">
        <v>24.4</v>
      </c>
      <c r="AF194">
        <v>483.5</v>
      </c>
    </row>
    <row r="195" spans="1:20" ht="111" thickBot="1">
      <c r="A195" s="77">
        <v>135</v>
      </c>
      <c r="B195" s="8" t="s">
        <v>63</v>
      </c>
      <c r="C195" s="23">
        <f>C196+C198</f>
        <v>47.7</v>
      </c>
      <c r="D195" s="23">
        <f aca="true" t="shared" si="65" ref="D195:J195">D196+D198</f>
        <v>47.7</v>
      </c>
      <c r="E195" s="23">
        <f t="shared" si="65"/>
        <v>0</v>
      </c>
      <c r="F195" s="23">
        <f t="shared" si="65"/>
        <v>0</v>
      </c>
      <c r="G195" s="23">
        <f t="shared" si="65"/>
        <v>0</v>
      </c>
      <c r="H195" s="23">
        <f t="shared" si="65"/>
        <v>0</v>
      </c>
      <c r="I195" s="23">
        <f t="shared" si="65"/>
        <v>0</v>
      </c>
      <c r="J195" s="23">
        <f t="shared" si="65"/>
        <v>0</v>
      </c>
      <c r="K195" s="32">
        <v>46.47</v>
      </c>
      <c r="L195" s="91"/>
      <c r="M195" s="92"/>
      <c r="N195" s="92"/>
      <c r="O195" s="92"/>
      <c r="P195" s="92"/>
      <c r="Q195" s="92"/>
      <c r="R195" s="92"/>
      <c r="S195" s="92"/>
      <c r="T195" s="92"/>
    </row>
    <row r="196" spans="1:20" ht="16.5" thickBot="1">
      <c r="A196" s="77">
        <v>136</v>
      </c>
      <c r="B196" s="8" t="s">
        <v>15</v>
      </c>
      <c r="C196" s="23">
        <f>D196+E196+F196+G196+H196+I196+J196</f>
        <v>0</v>
      </c>
      <c r="D196" s="22">
        <f>D197</f>
        <v>0</v>
      </c>
      <c r="E196" s="22">
        <f aca="true" t="shared" si="66" ref="E196:J196">E197</f>
        <v>0</v>
      </c>
      <c r="F196" s="22">
        <f t="shared" si="66"/>
        <v>0</v>
      </c>
      <c r="G196" s="22">
        <f t="shared" si="66"/>
        <v>0</v>
      </c>
      <c r="H196" s="22">
        <f t="shared" si="66"/>
        <v>0</v>
      </c>
      <c r="I196" s="22">
        <f t="shared" si="66"/>
        <v>0</v>
      </c>
      <c r="J196" s="22">
        <f t="shared" si="66"/>
        <v>0</v>
      </c>
      <c r="K196" s="32"/>
      <c r="L196" s="91"/>
      <c r="M196" s="92"/>
      <c r="N196" s="92"/>
      <c r="O196" s="92"/>
      <c r="P196" s="92"/>
      <c r="Q196" s="92"/>
      <c r="R196" s="92"/>
      <c r="S196" s="92"/>
      <c r="T196" s="92"/>
    </row>
    <row r="197" spans="1:20" ht="48" thickBot="1">
      <c r="A197" s="77">
        <v>137</v>
      </c>
      <c r="B197" s="8" t="s">
        <v>44</v>
      </c>
      <c r="C197" s="23">
        <f>D197+E197+F197+G197+H197+I197+J197</f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32"/>
      <c r="L197" s="91"/>
      <c r="M197" s="92"/>
      <c r="N197" s="92"/>
      <c r="O197" s="92"/>
      <c r="P197" s="92"/>
      <c r="Q197" s="92"/>
      <c r="R197" s="92"/>
      <c r="S197" s="92"/>
      <c r="T197" s="92"/>
    </row>
    <row r="198" spans="1:20" ht="16.5" thickBot="1">
      <c r="A198" s="77">
        <v>138</v>
      </c>
      <c r="B198" s="8" t="s">
        <v>16</v>
      </c>
      <c r="C198" s="23">
        <f>D198+E198+F198+G198+H198+I198+J198</f>
        <v>47.7</v>
      </c>
      <c r="D198" s="22">
        <f>D199</f>
        <v>47.7</v>
      </c>
      <c r="E198" s="22">
        <f aca="true" t="shared" si="67" ref="E198:J198">E199</f>
        <v>0</v>
      </c>
      <c r="F198" s="22">
        <f t="shared" si="67"/>
        <v>0</v>
      </c>
      <c r="G198" s="22">
        <f t="shared" si="67"/>
        <v>0</v>
      </c>
      <c r="H198" s="22">
        <f t="shared" si="67"/>
        <v>0</v>
      </c>
      <c r="I198" s="22">
        <f t="shared" si="67"/>
        <v>0</v>
      </c>
      <c r="J198" s="22">
        <f t="shared" si="67"/>
        <v>0</v>
      </c>
      <c r="K198" s="32"/>
      <c r="L198" s="91"/>
      <c r="M198" s="92"/>
      <c r="N198" s="92"/>
      <c r="O198" s="92"/>
      <c r="P198" s="92"/>
      <c r="Q198" s="92"/>
      <c r="R198" s="92"/>
      <c r="S198" s="92"/>
      <c r="T198" s="92"/>
    </row>
    <row r="199" spans="1:20" ht="48" thickBot="1">
      <c r="A199" s="77">
        <v>139</v>
      </c>
      <c r="B199" s="8" t="s">
        <v>44</v>
      </c>
      <c r="C199" s="23">
        <f>D199+E199+F199+G199+H199+I199+J199</f>
        <v>47.7</v>
      </c>
      <c r="D199" s="22">
        <v>47.7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32"/>
      <c r="L199" s="91"/>
      <c r="M199" s="92"/>
      <c r="N199" s="92"/>
      <c r="O199" s="92"/>
      <c r="P199" s="92"/>
      <c r="Q199" s="92"/>
      <c r="R199" s="92"/>
      <c r="S199" s="92"/>
      <c r="T199" s="92"/>
    </row>
    <row r="200" spans="1:25" s="41" customFormat="1" ht="15.75" customHeight="1">
      <c r="A200" s="83">
        <v>107</v>
      </c>
      <c r="B200" s="27" t="s">
        <v>108</v>
      </c>
      <c r="C200" s="85">
        <f aca="true" t="shared" si="68" ref="C200:J200">C204+C206+C202</f>
        <v>118.7</v>
      </c>
      <c r="D200" s="85">
        <f t="shared" si="68"/>
        <v>0</v>
      </c>
      <c r="E200" s="85">
        <f t="shared" si="68"/>
        <v>0</v>
      </c>
      <c r="F200" s="85">
        <f t="shared" si="68"/>
        <v>118.7</v>
      </c>
      <c r="G200" s="85">
        <f t="shared" si="68"/>
        <v>0</v>
      </c>
      <c r="H200" s="85">
        <f t="shared" si="68"/>
        <v>0</v>
      </c>
      <c r="I200" s="85">
        <f t="shared" si="68"/>
        <v>0</v>
      </c>
      <c r="J200" s="85">
        <f t="shared" si="68"/>
        <v>0</v>
      </c>
      <c r="K200" s="89"/>
      <c r="L200" s="87">
        <f>L204+L205+L206+L207</f>
        <v>5567</v>
      </c>
      <c r="M200" s="88"/>
      <c r="N200" s="88"/>
      <c r="O200" s="88"/>
      <c r="P200" s="88"/>
      <c r="Q200" s="88"/>
      <c r="R200" s="88"/>
      <c r="S200" s="88"/>
      <c r="T200" s="88"/>
      <c r="Y200" s="49"/>
    </row>
    <row r="201" spans="1:25" s="41" customFormat="1" ht="76.5" customHeight="1" thickBot="1">
      <c r="A201" s="84"/>
      <c r="B201" s="21" t="s">
        <v>109</v>
      </c>
      <c r="C201" s="86"/>
      <c r="D201" s="86"/>
      <c r="E201" s="86"/>
      <c r="F201" s="86"/>
      <c r="G201" s="86"/>
      <c r="H201" s="86"/>
      <c r="I201" s="86"/>
      <c r="J201" s="86"/>
      <c r="K201" s="90"/>
      <c r="L201" s="87"/>
      <c r="M201" s="88"/>
      <c r="N201" s="88"/>
      <c r="O201" s="88"/>
      <c r="P201" s="88"/>
      <c r="Q201" s="88"/>
      <c r="R201" s="88"/>
      <c r="S201" s="88"/>
      <c r="T201" s="88"/>
      <c r="U201" s="41">
        <v>5.6</v>
      </c>
      <c r="Y201" s="49"/>
    </row>
    <row r="202" spans="1:28" s="41" customFormat="1" ht="16.5" thickBot="1">
      <c r="A202" s="80">
        <v>108</v>
      </c>
      <c r="B202" s="21" t="s">
        <v>98</v>
      </c>
      <c r="C202" s="25">
        <f aca="true" t="shared" si="69" ref="C202:C207">D202+E202+F202+G202+H202+I202+J202</f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40"/>
      <c r="L202" s="81">
        <f>-18108</f>
        <v>-18108</v>
      </c>
      <c r="M202" s="82"/>
      <c r="N202" s="82"/>
      <c r="O202" s="82"/>
      <c r="P202" s="82"/>
      <c r="Q202" s="82"/>
      <c r="R202" s="82"/>
      <c r="S202" s="82"/>
      <c r="T202" s="82"/>
      <c r="U202" s="42">
        <v>-18.1</v>
      </c>
      <c r="Y202" s="49"/>
      <c r="AB202" s="41">
        <v>698</v>
      </c>
    </row>
    <row r="203" spans="1:28" s="41" customFormat="1" ht="48" thickBot="1">
      <c r="A203" s="80">
        <v>109</v>
      </c>
      <c r="B203" s="21" t="s">
        <v>44</v>
      </c>
      <c r="C203" s="25">
        <f t="shared" si="69"/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40"/>
      <c r="L203" s="81">
        <f>18108</f>
        <v>18108</v>
      </c>
      <c r="M203" s="82"/>
      <c r="N203" s="82"/>
      <c r="O203" s="82"/>
      <c r="P203" s="82"/>
      <c r="Q203" s="82"/>
      <c r="R203" s="82"/>
      <c r="S203" s="82"/>
      <c r="T203" s="82"/>
      <c r="U203" s="42">
        <v>18.1</v>
      </c>
      <c r="Y203" s="49"/>
      <c r="AB203" s="41">
        <v>698</v>
      </c>
    </row>
    <row r="204" spans="1:28" s="41" customFormat="1" ht="16.5" thickBot="1">
      <c r="A204" s="80">
        <v>110</v>
      </c>
      <c r="B204" s="21" t="s">
        <v>15</v>
      </c>
      <c r="C204" s="25">
        <f t="shared" si="69"/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40"/>
      <c r="L204" s="81">
        <f>-18108</f>
        <v>-18108</v>
      </c>
      <c r="M204" s="82"/>
      <c r="N204" s="82"/>
      <c r="O204" s="82"/>
      <c r="P204" s="82"/>
      <c r="Q204" s="82"/>
      <c r="R204" s="82"/>
      <c r="S204" s="82"/>
      <c r="T204" s="82"/>
      <c r="U204" s="42">
        <v>-18.1</v>
      </c>
      <c r="Y204" s="49"/>
      <c r="AB204" s="41">
        <v>299.2</v>
      </c>
    </row>
    <row r="205" spans="1:28" s="41" customFormat="1" ht="48" thickBot="1">
      <c r="A205" s="80">
        <v>111</v>
      </c>
      <c r="B205" s="21" t="s">
        <v>44</v>
      </c>
      <c r="C205" s="25">
        <f t="shared" si="69"/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40"/>
      <c r="L205" s="81">
        <f>18108</f>
        <v>18108</v>
      </c>
      <c r="M205" s="82"/>
      <c r="N205" s="82"/>
      <c r="O205" s="82"/>
      <c r="P205" s="82"/>
      <c r="Q205" s="82"/>
      <c r="R205" s="82"/>
      <c r="S205" s="82"/>
      <c r="T205" s="82"/>
      <c r="U205" s="42">
        <v>18.1</v>
      </c>
      <c r="Y205" s="49"/>
      <c r="AB205" s="41">
        <v>299.2</v>
      </c>
    </row>
    <row r="206" spans="1:25" s="41" customFormat="1" ht="21" customHeight="1" thickBot="1">
      <c r="A206" s="80">
        <v>112</v>
      </c>
      <c r="B206" s="21" t="s">
        <v>16</v>
      </c>
      <c r="C206" s="25">
        <f t="shared" si="69"/>
        <v>118.7</v>
      </c>
      <c r="D206" s="24">
        <v>0</v>
      </c>
      <c r="E206" s="24">
        <v>0</v>
      </c>
      <c r="F206" s="24">
        <v>118.7</v>
      </c>
      <c r="G206" s="24">
        <v>0</v>
      </c>
      <c r="H206" s="24">
        <v>0</v>
      </c>
      <c r="I206" s="24">
        <f>H206</f>
        <v>0</v>
      </c>
      <c r="J206" s="24">
        <f>I206</f>
        <v>0</v>
      </c>
      <c r="K206" s="40"/>
      <c r="L206" s="81">
        <f>-16541+4000</f>
        <v>-12541</v>
      </c>
      <c r="M206" s="82"/>
      <c r="N206" s="82"/>
      <c r="O206" s="82"/>
      <c r="P206" s="82"/>
      <c r="Q206" s="82"/>
      <c r="R206" s="82"/>
      <c r="S206" s="82"/>
      <c r="T206" s="82"/>
      <c r="U206" s="41">
        <v>-12.5</v>
      </c>
      <c r="Y206" s="49">
        <v>90.7</v>
      </c>
    </row>
    <row r="207" spans="1:25" s="41" customFormat="1" ht="48" thickBot="1">
      <c r="A207" s="80">
        <v>113</v>
      </c>
      <c r="B207" s="21" t="s">
        <v>44</v>
      </c>
      <c r="C207" s="25">
        <f t="shared" si="69"/>
        <v>118.7</v>
      </c>
      <c r="D207" s="24">
        <v>0</v>
      </c>
      <c r="E207" s="24">
        <v>0</v>
      </c>
      <c r="F207" s="24">
        <v>118.7</v>
      </c>
      <c r="G207" s="24">
        <v>0</v>
      </c>
      <c r="H207" s="24">
        <v>0</v>
      </c>
      <c r="I207" s="24">
        <f>H207</f>
        <v>0</v>
      </c>
      <c r="J207" s="24">
        <f>I207</f>
        <v>0</v>
      </c>
      <c r="K207" s="40"/>
      <c r="L207" s="81">
        <f>18108</f>
        <v>18108</v>
      </c>
      <c r="M207" s="82"/>
      <c r="N207" s="82"/>
      <c r="O207" s="82"/>
      <c r="P207" s="82"/>
      <c r="Q207" s="82"/>
      <c r="R207" s="82"/>
      <c r="S207" s="82"/>
      <c r="T207" s="82"/>
      <c r="U207" s="41">
        <v>18.1</v>
      </c>
      <c r="Y207" s="49">
        <v>90.7</v>
      </c>
    </row>
    <row r="208" spans="1:28" ht="47.25" customHeight="1" thickBot="1">
      <c r="A208" s="77">
        <v>140</v>
      </c>
      <c r="B208" s="114" t="s">
        <v>56</v>
      </c>
      <c r="C208" s="115"/>
      <c r="D208" s="115"/>
      <c r="E208" s="115"/>
      <c r="F208" s="115"/>
      <c r="G208" s="115"/>
      <c r="H208" s="115"/>
      <c r="I208" s="115"/>
      <c r="J208" s="115"/>
      <c r="K208" s="116"/>
      <c r="L208" s="91"/>
      <c r="M208" s="92"/>
      <c r="N208" s="92"/>
      <c r="O208" s="92"/>
      <c r="P208" s="92"/>
      <c r="Q208" s="92"/>
      <c r="R208" s="92"/>
      <c r="S208" s="92"/>
      <c r="T208" s="92"/>
      <c r="AB208" s="41">
        <f>AB233+AB235+AB226</f>
        <v>28.7</v>
      </c>
    </row>
    <row r="209" spans="1:21" ht="48" thickBot="1">
      <c r="A209" s="77">
        <v>141</v>
      </c>
      <c r="B209" s="8" t="s">
        <v>20</v>
      </c>
      <c r="C209" s="18">
        <f>C210+C212</f>
        <v>52993.3</v>
      </c>
      <c r="D209" s="18">
        <f>D210+D212</f>
        <v>7905.2</v>
      </c>
      <c r="E209" s="18">
        <f aca="true" t="shared" si="70" ref="E209:J209">E210+E212</f>
        <v>7086.6</v>
      </c>
      <c r="F209" s="18">
        <f t="shared" si="70"/>
        <v>12148.1</v>
      </c>
      <c r="G209" s="18">
        <f t="shared" si="70"/>
        <v>6476.299999999999</v>
      </c>
      <c r="H209" s="18">
        <f t="shared" si="70"/>
        <v>6476.299999999999</v>
      </c>
      <c r="I209" s="18">
        <f t="shared" si="70"/>
        <v>6476.299999999999</v>
      </c>
      <c r="J209" s="18">
        <f t="shared" si="70"/>
        <v>6476.299999999999</v>
      </c>
      <c r="K209" s="32"/>
      <c r="L209" s="109">
        <f>L223</f>
        <v>278700</v>
      </c>
      <c r="M209" s="110"/>
      <c r="N209" s="110"/>
      <c r="O209" s="110"/>
      <c r="P209" s="110"/>
      <c r="Q209" s="110"/>
      <c r="R209" s="110"/>
      <c r="S209" s="110"/>
      <c r="T209" s="110"/>
      <c r="U209">
        <v>278.7</v>
      </c>
    </row>
    <row r="210" spans="1:20" ht="16.5" thickBot="1">
      <c r="A210" s="77">
        <v>142</v>
      </c>
      <c r="B210" s="8" t="s">
        <v>15</v>
      </c>
      <c r="C210" s="18">
        <f>C224+C238</f>
        <v>35134.100000000006</v>
      </c>
      <c r="D210" s="19">
        <f>D224+D233+D238</f>
        <v>5446</v>
      </c>
      <c r="E210" s="19">
        <f>E224+E233+E238</f>
        <v>4904.5</v>
      </c>
      <c r="F210" s="19">
        <f>F224+F233+F238</f>
        <v>6896.6</v>
      </c>
      <c r="G210" s="19">
        <f aca="true" t="shared" si="71" ref="D210:J211">G224</f>
        <v>4484.7</v>
      </c>
      <c r="H210" s="19">
        <f t="shared" si="71"/>
        <v>4484.7</v>
      </c>
      <c r="I210" s="19">
        <f t="shared" si="71"/>
        <v>4484.7</v>
      </c>
      <c r="J210" s="19">
        <f t="shared" si="71"/>
        <v>4484.7</v>
      </c>
      <c r="K210" s="32"/>
      <c r="L210" s="109">
        <f>L224</f>
        <v>-200000</v>
      </c>
      <c r="M210" s="110"/>
      <c r="N210" s="110"/>
      <c r="O210" s="110"/>
      <c r="P210" s="110"/>
      <c r="Q210" s="110"/>
      <c r="R210" s="110"/>
      <c r="S210" s="110"/>
      <c r="T210" s="110"/>
    </row>
    <row r="211" spans="1:20" ht="48" thickBot="1">
      <c r="A211" s="77">
        <v>143</v>
      </c>
      <c r="B211" s="8" t="s">
        <v>44</v>
      </c>
      <c r="C211" s="18">
        <f>C225</f>
        <v>21398.000000000004</v>
      </c>
      <c r="D211" s="19">
        <f t="shared" si="71"/>
        <v>2879.3</v>
      </c>
      <c r="E211" s="19">
        <f t="shared" si="71"/>
        <v>2887.7</v>
      </c>
      <c r="F211" s="19">
        <f t="shared" si="71"/>
        <v>3126.2</v>
      </c>
      <c r="G211" s="19">
        <f t="shared" si="71"/>
        <v>3126.2</v>
      </c>
      <c r="H211" s="19">
        <f t="shared" si="71"/>
        <v>3126.2</v>
      </c>
      <c r="I211" s="19">
        <f t="shared" si="71"/>
        <v>3126.2</v>
      </c>
      <c r="J211" s="19">
        <f t="shared" si="71"/>
        <v>3126.2</v>
      </c>
      <c r="K211" s="32"/>
      <c r="L211" s="109">
        <f>L225</f>
        <v>200000</v>
      </c>
      <c r="M211" s="110"/>
      <c r="N211" s="110"/>
      <c r="O211" s="110"/>
      <c r="P211" s="110"/>
      <c r="Q211" s="110"/>
      <c r="R211" s="110"/>
      <c r="S211" s="110"/>
      <c r="T211" s="110"/>
    </row>
    <row r="212" spans="1:20" ht="16.5" thickBot="1">
      <c r="A212" s="77">
        <v>144</v>
      </c>
      <c r="B212" s="8" t="s">
        <v>16</v>
      </c>
      <c r="C212" s="18">
        <f>C226+C230+C235+C240</f>
        <v>17859.199999999997</v>
      </c>
      <c r="D212" s="44">
        <f>D226+D230+D235+D240</f>
        <v>2459.2</v>
      </c>
      <c r="E212" s="44">
        <f>E226+E230+E235+E240</f>
        <v>2182.1</v>
      </c>
      <c r="F212" s="44">
        <f>F226+F230+F235+F240</f>
        <v>5251.5</v>
      </c>
      <c r="G212" s="44">
        <f>G226+G230+G235</f>
        <v>1991.6</v>
      </c>
      <c r="H212" s="44">
        <f>H226+H230+H235</f>
        <v>1991.6</v>
      </c>
      <c r="I212" s="44">
        <f>I226+I230+I235</f>
        <v>1991.6</v>
      </c>
      <c r="J212" s="44">
        <f>J226+J230+J235</f>
        <v>1991.6</v>
      </c>
      <c r="K212" s="32"/>
      <c r="L212" s="109">
        <f>L226</f>
        <v>-82313.35</v>
      </c>
      <c r="M212" s="110"/>
      <c r="N212" s="110"/>
      <c r="O212" s="110"/>
      <c r="P212" s="110"/>
      <c r="Q212" s="110"/>
      <c r="R212" s="110"/>
      <c r="S212" s="110"/>
      <c r="T212" s="110"/>
    </row>
    <row r="213" spans="1:20" ht="48" thickBot="1">
      <c r="A213" s="77">
        <v>145</v>
      </c>
      <c r="B213" s="8" t="s">
        <v>44</v>
      </c>
      <c r="C213" s="18">
        <f>C227+C231</f>
        <v>11653.2</v>
      </c>
      <c r="D213" s="44">
        <f aca="true" t="shared" si="72" ref="D213:J213">D227+D231</f>
        <v>1695.8999999999999</v>
      </c>
      <c r="E213" s="44">
        <f t="shared" si="72"/>
        <v>1447.1</v>
      </c>
      <c r="F213" s="44">
        <f t="shared" si="72"/>
        <v>2401.8</v>
      </c>
      <c r="G213" s="44">
        <f t="shared" si="72"/>
        <v>1527.1</v>
      </c>
      <c r="H213" s="44">
        <f t="shared" si="72"/>
        <v>1527.1</v>
      </c>
      <c r="I213" s="44">
        <f t="shared" si="72"/>
        <v>1527.1</v>
      </c>
      <c r="J213" s="44">
        <f t="shared" si="72"/>
        <v>1527.1</v>
      </c>
      <c r="K213" s="32"/>
      <c r="L213" s="109">
        <f>L227</f>
        <v>361013.35</v>
      </c>
      <c r="M213" s="110"/>
      <c r="N213" s="110"/>
      <c r="O213" s="110"/>
      <c r="P213" s="110"/>
      <c r="Q213" s="110"/>
      <c r="R213" s="110"/>
      <c r="S213" s="110"/>
      <c r="T213" s="110"/>
    </row>
    <row r="214" spans="1:20" ht="16.5" customHeight="1" hidden="1" thickBot="1">
      <c r="A214" s="77"/>
      <c r="B214" s="8" t="s">
        <v>17</v>
      </c>
      <c r="C214" s="19"/>
      <c r="D214" s="19"/>
      <c r="E214" s="19"/>
      <c r="F214" s="19"/>
      <c r="G214" s="19"/>
      <c r="H214" s="19"/>
      <c r="I214" s="19"/>
      <c r="J214" s="19"/>
      <c r="K214" s="32"/>
      <c r="L214" s="91"/>
      <c r="M214" s="92"/>
      <c r="N214" s="92"/>
      <c r="O214" s="92"/>
      <c r="P214" s="92"/>
      <c r="Q214" s="92"/>
      <c r="R214" s="92"/>
      <c r="S214" s="92"/>
      <c r="T214" s="92"/>
    </row>
    <row r="215" spans="1:20" ht="16.5" customHeight="1" hidden="1" thickBot="1">
      <c r="A215" s="77"/>
      <c r="B215" s="8" t="s">
        <v>16</v>
      </c>
      <c r="C215" s="19"/>
      <c r="D215" s="19"/>
      <c r="E215" s="19"/>
      <c r="F215" s="19"/>
      <c r="G215" s="19"/>
      <c r="H215" s="19"/>
      <c r="I215" s="19"/>
      <c r="J215" s="19"/>
      <c r="K215" s="32"/>
      <c r="L215" s="91"/>
      <c r="M215" s="92"/>
      <c r="N215" s="92"/>
      <c r="O215" s="92"/>
      <c r="P215" s="92"/>
      <c r="Q215" s="92"/>
      <c r="R215" s="92"/>
      <c r="S215" s="92"/>
      <c r="T215" s="92"/>
    </row>
    <row r="216" spans="1:20" ht="32.25" customHeight="1" hidden="1" thickBot="1">
      <c r="A216" s="77"/>
      <c r="B216" s="8" t="s">
        <v>18</v>
      </c>
      <c r="C216" s="19"/>
      <c r="D216" s="19"/>
      <c r="E216" s="19"/>
      <c r="F216" s="19"/>
      <c r="G216" s="19"/>
      <c r="H216" s="19"/>
      <c r="I216" s="19"/>
      <c r="J216" s="19"/>
      <c r="K216" s="32"/>
      <c r="L216" s="91"/>
      <c r="M216" s="92"/>
      <c r="N216" s="92"/>
      <c r="O216" s="92"/>
      <c r="P216" s="92"/>
      <c r="Q216" s="92"/>
      <c r="R216" s="92"/>
      <c r="S216" s="92"/>
      <c r="T216" s="92"/>
    </row>
    <row r="217" spans="1:20" ht="15.75" customHeight="1" hidden="1">
      <c r="A217" s="94"/>
      <c r="B217" s="12" t="s">
        <v>30</v>
      </c>
      <c r="C217" s="105"/>
      <c r="D217" s="105"/>
      <c r="E217" s="105"/>
      <c r="F217" s="105"/>
      <c r="G217" s="105"/>
      <c r="H217" s="105"/>
      <c r="I217" s="105"/>
      <c r="J217" s="105"/>
      <c r="K217" s="107"/>
      <c r="L217" s="91"/>
      <c r="M217" s="92"/>
      <c r="N217" s="92"/>
      <c r="O217" s="92"/>
      <c r="P217" s="92"/>
      <c r="Q217" s="92"/>
      <c r="R217" s="92"/>
      <c r="S217" s="92"/>
      <c r="T217" s="92"/>
    </row>
    <row r="218" spans="1:20" ht="79.5" customHeight="1" hidden="1" thickBot="1">
      <c r="A218" s="95"/>
      <c r="B218" s="20" t="s">
        <v>31</v>
      </c>
      <c r="C218" s="106"/>
      <c r="D218" s="106"/>
      <c r="E218" s="106"/>
      <c r="F218" s="106"/>
      <c r="G218" s="106"/>
      <c r="H218" s="106"/>
      <c r="I218" s="106"/>
      <c r="J218" s="106"/>
      <c r="K218" s="113"/>
      <c r="L218" s="91"/>
      <c r="M218" s="92"/>
      <c r="N218" s="92"/>
      <c r="O218" s="92"/>
      <c r="P218" s="92"/>
      <c r="Q218" s="92"/>
      <c r="R218" s="92"/>
      <c r="S218" s="92"/>
      <c r="T218" s="92"/>
    </row>
    <row r="219" spans="1:20" ht="16.5" customHeight="1" hidden="1" thickBot="1">
      <c r="A219" s="77"/>
      <c r="B219" s="8" t="s">
        <v>15</v>
      </c>
      <c r="C219" s="19"/>
      <c r="D219" s="19"/>
      <c r="E219" s="19"/>
      <c r="F219" s="19"/>
      <c r="G219" s="19"/>
      <c r="H219" s="19"/>
      <c r="I219" s="19"/>
      <c r="J219" s="19"/>
      <c r="K219" s="32"/>
      <c r="L219" s="91"/>
      <c r="M219" s="92"/>
      <c r="N219" s="92"/>
      <c r="O219" s="92"/>
      <c r="P219" s="92"/>
      <c r="Q219" s="92"/>
      <c r="R219" s="92"/>
      <c r="S219" s="92"/>
      <c r="T219" s="92"/>
    </row>
    <row r="220" spans="1:20" ht="48" customHeight="1" hidden="1" thickBot="1">
      <c r="A220" s="77"/>
      <c r="B220" s="8" t="s">
        <v>44</v>
      </c>
      <c r="C220" s="19"/>
      <c r="D220" s="19"/>
      <c r="E220" s="19"/>
      <c r="F220" s="19"/>
      <c r="G220" s="19"/>
      <c r="H220" s="19"/>
      <c r="I220" s="19"/>
      <c r="J220" s="19"/>
      <c r="K220" s="32"/>
      <c r="L220" s="91"/>
      <c r="M220" s="92"/>
      <c r="N220" s="92"/>
      <c r="O220" s="92"/>
      <c r="P220" s="92"/>
      <c r="Q220" s="92"/>
      <c r="R220" s="92"/>
      <c r="S220" s="92"/>
      <c r="T220" s="92"/>
    </row>
    <row r="221" spans="1:20" ht="16.5" customHeight="1" hidden="1" thickBot="1">
      <c r="A221" s="77"/>
      <c r="B221" s="8" t="s">
        <v>16</v>
      </c>
      <c r="C221" s="19"/>
      <c r="D221" s="19"/>
      <c r="E221" s="19"/>
      <c r="F221" s="19"/>
      <c r="G221" s="19"/>
      <c r="H221" s="19"/>
      <c r="I221" s="19"/>
      <c r="J221" s="19"/>
      <c r="K221" s="32"/>
      <c r="L221" s="91"/>
      <c r="M221" s="92"/>
      <c r="N221" s="92"/>
      <c r="O221" s="92"/>
      <c r="P221" s="92"/>
      <c r="Q221" s="92"/>
      <c r="R221" s="92"/>
      <c r="S221" s="92"/>
      <c r="T221" s="92"/>
    </row>
    <row r="222" spans="1:20" ht="48" customHeight="1" hidden="1" thickBot="1">
      <c r="A222" s="77"/>
      <c r="B222" s="8" t="s">
        <v>44</v>
      </c>
      <c r="C222" s="19"/>
      <c r="D222" s="19"/>
      <c r="E222" s="19"/>
      <c r="F222" s="19"/>
      <c r="G222" s="19"/>
      <c r="H222" s="19"/>
      <c r="I222" s="19"/>
      <c r="J222" s="19"/>
      <c r="K222" s="32"/>
      <c r="L222" s="91"/>
      <c r="M222" s="92"/>
      <c r="N222" s="92"/>
      <c r="O222" s="92"/>
      <c r="P222" s="92"/>
      <c r="Q222" s="92"/>
      <c r="R222" s="92"/>
      <c r="S222" s="92"/>
      <c r="T222" s="92"/>
    </row>
    <row r="223" spans="1:20" ht="63.75" thickBot="1">
      <c r="A223" s="77">
        <v>146</v>
      </c>
      <c r="B223" s="31" t="s">
        <v>55</v>
      </c>
      <c r="C223" s="18">
        <f>C224+C226</f>
        <v>45230.1</v>
      </c>
      <c r="D223" s="18">
        <f aca="true" t="shared" si="73" ref="D223:J223">D224+D226</f>
        <v>6149.5</v>
      </c>
      <c r="E223" s="18">
        <f t="shared" si="73"/>
        <v>6115.4</v>
      </c>
      <c r="F223" s="18">
        <f t="shared" si="73"/>
        <v>7291.2</v>
      </c>
      <c r="G223" s="18">
        <f t="shared" si="73"/>
        <v>6418.5</v>
      </c>
      <c r="H223" s="18">
        <f t="shared" si="73"/>
        <v>6418.5</v>
      </c>
      <c r="I223" s="18">
        <f t="shared" si="73"/>
        <v>6418.5</v>
      </c>
      <c r="J223" s="18">
        <f t="shared" si="73"/>
        <v>6418.5</v>
      </c>
      <c r="K223" s="32">
        <v>50.51</v>
      </c>
      <c r="L223" s="111">
        <f>L224+L225+L226+L227</f>
        <v>278700</v>
      </c>
      <c r="M223" s="112"/>
      <c r="N223" s="112"/>
      <c r="O223" s="112"/>
      <c r="P223" s="112"/>
      <c r="Q223" s="112"/>
      <c r="R223" s="112"/>
      <c r="S223" s="112"/>
      <c r="T223" s="112"/>
    </row>
    <row r="224" spans="1:21" ht="16.5" thickBot="1">
      <c r="A224" s="77">
        <v>147</v>
      </c>
      <c r="B224" s="8" t="s">
        <v>15</v>
      </c>
      <c r="C224" s="18">
        <f>D224+E224+F224+G224+H224+I224+J224</f>
        <v>31109.100000000002</v>
      </c>
      <c r="D224" s="19">
        <f>U224+U225+4200.9</f>
        <v>4200.9</v>
      </c>
      <c r="E224" s="19">
        <v>4484.7</v>
      </c>
      <c r="F224" s="19">
        <v>4484.7</v>
      </c>
      <c r="G224" s="19">
        <v>4484.7</v>
      </c>
      <c r="H224" s="19">
        <f aca="true" t="shared" si="74" ref="H224:J227">G224</f>
        <v>4484.7</v>
      </c>
      <c r="I224" s="19">
        <f t="shared" si="74"/>
        <v>4484.7</v>
      </c>
      <c r="J224" s="19">
        <f t="shared" si="74"/>
        <v>4484.7</v>
      </c>
      <c r="K224" s="32"/>
      <c r="L224" s="109">
        <f>-200000</f>
        <v>-200000</v>
      </c>
      <c r="M224" s="110"/>
      <c r="N224" s="110"/>
      <c r="O224" s="110"/>
      <c r="P224" s="110"/>
      <c r="Q224" s="110"/>
      <c r="R224" s="110"/>
      <c r="S224" s="110"/>
      <c r="T224" s="110"/>
      <c r="U224">
        <v>-200</v>
      </c>
    </row>
    <row r="225" spans="1:32" ht="53.25" customHeight="1" thickBot="1">
      <c r="A225" s="77">
        <v>148</v>
      </c>
      <c r="B225" s="8" t="s">
        <v>44</v>
      </c>
      <c r="C225" s="18">
        <f>D225+E225+F225+G225+H225+I225+J225</f>
        <v>21398.000000000004</v>
      </c>
      <c r="D225" s="19">
        <f>2679.3+U225</f>
        <v>2879.3</v>
      </c>
      <c r="E225" s="19">
        <v>2887.7</v>
      </c>
      <c r="F225" s="19">
        <f>3581.6+AF225</f>
        <v>3126.2</v>
      </c>
      <c r="G225" s="19">
        <f>F225</f>
        <v>3126.2</v>
      </c>
      <c r="H225" s="19">
        <f t="shared" si="74"/>
        <v>3126.2</v>
      </c>
      <c r="I225" s="19">
        <f t="shared" si="74"/>
        <v>3126.2</v>
      </c>
      <c r="J225" s="19">
        <f t="shared" si="74"/>
        <v>3126.2</v>
      </c>
      <c r="K225" s="32"/>
      <c r="L225" s="109">
        <f>200000</f>
        <v>200000</v>
      </c>
      <c r="M225" s="110"/>
      <c r="N225" s="110"/>
      <c r="O225" s="110"/>
      <c r="P225" s="110"/>
      <c r="Q225" s="110"/>
      <c r="R225" s="110"/>
      <c r="S225" s="110"/>
      <c r="T225" s="110"/>
      <c r="U225">
        <v>200</v>
      </c>
      <c r="AF225">
        <v>-455.4</v>
      </c>
    </row>
    <row r="226" spans="1:32" ht="16.5" thickBot="1">
      <c r="A226" s="77">
        <v>149</v>
      </c>
      <c r="B226" s="8" t="s">
        <v>24</v>
      </c>
      <c r="C226" s="18">
        <f>D226+E226+F226+G226+H226+I226+J226</f>
        <v>14120.999999999998</v>
      </c>
      <c r="D226" s="19">
        <f>1590.6+U226+U227+79.8-0.5</f>
        <v>1948.6</v>
      </c>
      <c r="E226" s="19">
        <f>2054+W226+X226+Y226+AB226</f>
        <v>1630.7</v>
      </c>
      <c r="F226" s="19">
        <f>2895+AF226</f>
        <v>2806.5</v>
      </c>
      <c r="G226" s="19">
        <v>1933.8</v>
      </c>
      <c r="H226" s="19">
        <f t="shared" si="74"/>
        <v>1933.8</v>
      </c>
      <c r="I226" s="19">
        <f t="shared" si="74"/>
        <v>1933.8</v>
      </c>
      <c r="J226" s="19">
        <f t="shared" si="74"/>
        <v>1933.8</v>
      </c>
      <c r="K226" s="32"/>
      <c r="L226" s="109">
        <f>-82313.35</f>
        <v>-82313.35</v>
      </c>
      <c r="M226" s="110"/>
      <c r="N226" s="110"/>
      <c r="O226" s="110"/>
      <c r="P226" s="110"/>
      <c r="Q226" s="110"/>
      <c r="R226" s="110"/>
      <c r="S226" s="110"/>
      <c r="T226" s="110"/>
      <c r="U226">
        <v>-82.3</v>
      </c>
      <c r="W226">
        <v>-287.2</v>
      </c>
      <c r="X226">
        <v>-12.8</v>
      </c>
      <c r="Y226" s="49">
        <v>-121</v>
      </c>
      <c r="AB226" s="41">
        <v>-2.3</v>
      </c>
      <c r="AF226">
        <v>-88.5</v>
      </c>
    </row>
    <row r="227" spans="1:32" ht="53.25" customHeight="1" thickBot="1">
      <c r="A227" s="77">
        <v>150</v>
      </c>
      <c r="B227" s="8" t="s">
        <v>44</v>
      </c>
      <c r="C227" s="18">
        <f>D227+E227+F227+G227+H227+I227+J227</f>
        <v>11653.2</v>
      </c>
      <c r="D227" s="19">
        <f>1319.6+U227+15.3</f>
        <v>1695.8999999999999</v>
      </c>
      <c r="E227" s="19">
        <f>1685.1+W227+X227+Y227+AB227</f>
        <v>1447.1</v>
      </c>
      <c r="F227" s="19">
        <f>2626+AF227</f>
        <v>2401.8</v>
      </c>
      <c r="G227" s="19">
        <v>1527.1</v>
      </c>
      <c r="H227" s="19">
        <f t="shared" si="74"/>
        <v>1527.1</v>
      </c>
      <c r="I227" s="19">
        <f t="shared" si="74"/>
        <v>1527.1</v>
      </c>
      <c r="J227" s="19">
        <f t="shared" si="74"/>
        <v>1527.1</v>
      </c>
      <c r="K227" s="32"/>
      <c r="L227" s="109">
        <f>14296+68017.35+278700</f>
        <v>361013.35</v>
      </c>
      <c r="M227" s="110"/>
      <c r="N227" s="110"/>
      <c r="O227" s="110"/>
      <c r="P227" s="110"/>
      <c r="Q227" s="110"/>
      <c r="R227" s="110"/>
      <c r="S227" s="110"/>
      <c r="T227" s="110"/>
      <c r="U227">
        <v>361</v>
      </c>
      <c r="W227">
        <v>-287.2</v>
      </c>
      <c r="X227">
        <v>-12.8</v>
      </c>
      <c r="Y227" s="49">
        <f>94+33.7-63.4</f>
        <v>64.30000000000001</v>
      </c>
      <c r="AB227" s="41">
        <v>-2.3</v>
      </c>
      <c r="AF227">
        <v>-224.2</v>
      </c>
    </row>
    <row r="228" spans="1:20" ht="15.75">
      <c r="A228" s="94">
        <v>151</v>
      </c>
      <c r="B228" s="12" t="s">
        <v>28</v>
      </c>
      <c r="C228" s="105"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7">
        <v>50.51</v>
      </c>
      <c r="L228" s="91"/>
      <c r="M228" s="92"/>
      <c r="N228" s="92"/>
      <c r="O228" s="92"/>
      <c r="P228" s="92"/>
      <c r="Q228" s="92"/>
      <c r="R228" s="92"/>
      <c r="S228" s="92"/>
      <c r="T228" s="92"/>
    </row>
    <row r="229" spans="1:20" ht="63.75" thickBot="1">
      <c r="A229" s="95"/>
      <c r="B229" s="8" t="s">
        <v>32</v>
      </c>
      <c r="C229" s="106"/>
      <c r="D229" s="106"/>
      <c r="E229" s="106"/>
      <c r="F229" s="106"/>
      <c r="G229" s="106"/>
      <c r="H229" s="106"/>
      <c r="I229" s="106"/>
      <c r="J229" s="106"/>
      <c r="K229" s="108"/>
      <c r="L229" s="91"/>
      <c r="M229" s="92"/>
      <c r="N229" s="92"/>
      <c r="O229" s="92"/>
      <c r="P229" s="92"/>
      <c r="Q229" s="92"/>
      <c r="R229" s="92"/>
      <c r="S229" s="92"/>
      <c r="T229" s="92"/>
    </row>
    <row r="230" spans="1:20" ht="16.5" thickBot="1">
      <c r="A230" s="77">
        <v>152</v>
      </c>
      <c r="B230" s="8" t="s">
        <v>16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32"/>
      <c r="L230" s="91"/>
      <c r="M230" s="92"/>
      <c r="N230" s="92"/>
      <c r="O230" s="92"/>
      <c r="P230" s="92"/>
      <c r="Q230" s="92"/>
      <c r="R230" s="92"/>
      <c r="S230" s="92"/>
      <c r="T230" s="92"/>
    </row>
    <row r="231" spans="1:20" ht="48" thickBot="1">
      <c r="A231" s="77">
        <v>153</v>
      </c>
      <c r="B231" s="8" t="s">
        <v>44</v>
      </c>
      <c r="C231" s="19"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32"/>
      <c r="L231" s="91"/>
      <c r="M231" s="92"/>
      <c r="N231" s="92"/>
      <c r="O231" s="92"/>
      <c r="P231" s="92"/>
      <c r="Q231" s="92"/>
      <c r="R231" s="92"/>
      <c r="S231" s="92"/>
      <c r="T231" s="92"/>
    </row>
    <row r="232" spans="1:20" ht="57.75" customHeight="1" thickBot="1">
      <c r="A232" s="77">
        <v>154</v>
      </c>
      <c r="B232" s="31" t="s">
        <v>64</v>
      </c>
      <c r="C232" s="16">
        <f>C233+C235</f>
        <v>429.30000000000007</v>
      </c>
      <c r="D232" s="16">
        <f aca="true" t="shared" si="75" ref="D232:J232">D233+D235</f>
        <v>36</v>
      </c>
      <c r="E232" s="16">
        <f>E233+E235</f>
        <v>83</v>
      </c>
      <c r="F232" s="16">
        <f t="shared" si="75"/>
        <v>79.1</v>
      </c>
      <c r="G232" s="16">
        <f t="shared" si="75"/>
        <v>57.8</v>
      </c>
      <c r="H232" s="16">
        <f t="shared" si="75"/>
        <v>57.8</v>
      </c>
      <c r="I232" s="16">
        <f t="shared" si="75"/>
        <v>57.8</v>
      </c>
      <c r="J232" s="16">
        <f t="shared" si="75"/>
        <v>57.8</v>
      </c>
      <c r="K232" s="107">
        <v>50.51</v>
      </c>
      <c r="L232" s="91"/>
      <c r="M232" s="92"/>
      <c r="N232" s="92"/>
      <c r="O232" s="92"/>
      <c r="P232" s="92"/>
      <c r="Q232" s="92"/>
      <c r="R232" s="92"/>
      <c r="S232" s="92"/>
      <c r="T232" s="92"/>
    </row>
    <row r="233" spans="1:32" ht="16.5" thickBot="1">
      <c r="A233" s="77">
        <v>155</v>
      </c>
      <c r="B233" s="8" t="s">
        <v>15</v>
      </c>
      <c r="C233" s="13">
        <f>D233+E233+F233+G233+H233+I233+J233</f>
        <v>51.8</v>
      </c>
      <c r="D233" s="13">
        <v>0</v>
      </c>
      <c r="E233" s="13">
        <f>AB233</f>
        <v>28.7</v>
      </c>
      <c r="F233" s="13">
        <f>AF233</f>
        <v>23.1</v>
      </c>
      <c r="G233" s="13">
        <v>0</v>
      </c>
      <c r="H233" s="13">
        <v>0</v>
      </c>
      <c r="I233" s="13">
        <v>0</v>
      </c>
      <c r="J233" s="13">
        <v>0</v>
      </c>
      <c r="K233" s="108"/>
      <c r="L233" s="91"/>
      <c r="M233" s="92"/>
      <c r="N233" s="92"/>
      <c r="O233" s="92"/>
      <c r="P233" s="92"/>
      <c r="Q233" s="92"/>
      <c r="R233" s="92"/>
      <c r="S233" s="92"/>
      <c r="T233" s="92"/>
      <c r="AB233" s="41">
        <v>28.7</v>
      </c>
      <c r="AF233">
        <v>23.1</v>
      </c>
    </row>
    <row r="234" spans="1:20" ht="48" thickBot="1">
      <c r="A234" s="77">
        <v>156</v>
      </c>
      <c r="B234" s="8" t="s">
        <v>44</v>
      </c>
      <c r="C234" s="13">
        <f>D234+E234+F234+G234+H234+I234+J234</f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32"/>
      <c r="L234" s="91"/>
      <c r="M234" s="92"/>
      <c r="N234" s="92"/>
      <c r="O234" s="92"/>
      <c r="P234" s="92"/>
      <c r="Q234" s="92"/>
      <c r="R234" s="92"/>
      <c r="S234" s="92"/>
      <c r="T234" s="92"/>
    </row>
    <row r="235" spans="1:28" ht="16.5" thickBot="1">
      <c r="A235" s="77">
        <v>157</v>
      </c>
      <c r="B235" s="8" t="s">
        <v>16</v>
      </c>
      <c r="C235" s="13">
        <f>D235+E235+F235+G235+H235+I235+J235</f>
        <v>377.50000000000006</v>
      </c>
      <c r="D235" s="13">
        <f>50-14</f>
        <v>36</v>
      </c>
      <c r="E235" s="13">
        <f>52+AB235</f>
        <v>54.3</v>
      </c>
      <c r="F235" s="13">
        <v>56</v>
      </c>
      <c r="G235" s="13">
        <v>57.8</v>
      </c>
      <c r="H235" s="13">
        <f>G235</f>
        <v>57.8</v>
      </c>
      <c r="I235" s="13">
        <f>H235</f>
        <v>57.8</v>
      </c>
      <c r="J235" s="13">
        <f>I235</f>
        <v>57.8</v>
      </c>
      <c r="K235" s="32"/>
      <c r="L235" s="91"/>
      <c r="M235" s="92"/>
      <c r="N235" s="92"/>
      <c r="O235" s="92"/>
      <c r="P235" s="92"/>
      <c r="Q235" s="92"/>
      <c r="R235" s="92"/>
      <c r="S235" s="92"/>
      <c r="T235" s="92"/>
      <c r="AB235" s="41">
        <v>2.3</v>
      </c>
    </row>
    <row r="236" spans="1:28" ht="48" thickBot="1">
      <c r="A236" s="77">
        <v>158</v>
      </c>
      <c r="B236" s="8" t="s">
        <v>44</v>
      </c>
      <c r="C236" s="13">
        <f>D236+E236+F236+G236+H236+I236+J236</f>
        <v>51</v>
      </c>
      <c r="D236" s="13">
        <v>0</v>
      </c>
      <c r="E236" s="13">
        <f>AB236</f>
        <v>51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32"/>
      <c r="L236" s="91"/>
      <c r="M236" s="92"/>
      <c r="N236" s="92"/>
      <c r="O236" s="92"/>
      <c r="P236" s="92"/>
      <c r="Q236" s="92"/>
      <c r="R236" s="92"/>
      <c r="S236" s="92"/>
      <c r="T236" s="92"/>
      <c r="AB236" s="41">
        <v>51</v>
      </c>
    </row>
    <row r="237" spans="1:20" ht="177.75" customHeight="1" thickBot="1">
      <c r="A237" s="77">
        <v>159</v>
      </c>
      <c r="B237" s="36" t="s">
        <v>93</v>
      </c>
      <c r="C237" s="16">
        <f aca="true" t="shared" si="76" ref="C237:J237">C238+C240</f>
        <v>7385.7</v>
      </c>
      <c r="D237" s="16">
        <f t="shared" si="76"/>
        <v>1719.6999999999998</v>
      </c>
      <c r="E237" s="16">
        <f t="shared" si="76"/>
        <v>888.2</v>
      </c>
      <c r="F237" s="16">
        <f t="shared" si="76"/>
        <v>4777.8</v>
      </c>
      <c r="G237" s="16">
        <f t="shared" si="76"/>
        <v>0</v>
      </c>
      <c r="H237" s="16">
        <f t="shared" si="76"/>
        <v>0</v>
      </c>
      <c r="I237" s="16">
        <f t="shared" si="76"/>
        <v>0</v>
      </c>
      <c r="J237" s="16">
        <f t="shared" si="76"/>
        <v>0</v>
      </c>
      <c r="K237" s="34">
        <v>52.53</v>
      </c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 thickBot="1">
      <c r="A238" s="77">
        <v>160</v>
      </c>
      <c r="B238" s="8" t="s">
        <v>15</v>
      </c>
      <c r="C238" s="13">
        <f>D238+E238+F238+G238+H238+I238+J238</f>
        <v>4025</v>
      </c>
      <c r="D238" s="24">
        <v>1245.1</v>
      </c>
      <c r="E238" s="13">
        <f aca="true" t="shared" si="77" ref="E238:J239">E243+E248</f>
        <v>391.1</v>
      </c>
      <c r="F238" s="13">
        <f>F239</f>
        <v>2388.8</v>
      </c>
      <c r="G238" s="13">
        <f t="shared" si="77"/>
        <v>0</v>
      </c>
      <c r="H238" s="13">
        <f t="shared" si="77"/>
        <v>0</v>
      </c>
      <c r="I238" s="13">
        <f t="shared" si="77"/>
        <v>0</v>
      </c>
      <c r="J238" s="13">
        <f t="shared" si="77"/>
        <v>0</v>
      </c>
      <c r="K238" s="32"/>
      <c r="L238" s="91"/>
      <c r="M238" s="92"/>
      <c r="N238" s="92"/>
      <c r="O238" s="92"/>
      <c r="P238" s="92"/>
      <c r="Q238" s="92"/>
      <c r="R238" s="92"/>
      <c r="S238" s="92"/>
      <c r="T238" s="92"/>
    </row>
    <row r="239" spans="1:20" ht="32.25" thickBot="1">
      <c r="A239" s="77">
        <v>161</v>
      </c>
      <c r="B239" s="8" t="s">
        <v>74</v>
      </c>
      <c r="C239" s="13">
        <f>D239+E239+F239+G239+H239+I239+J239</f>
        <v>4025</v>
      </c>
      <c r="D239" s="24">
        <v>1245.1</v>
      </c>
      <c r="E239" s="13">
        <f t="shared" si="77"/>
        <v>391.1</v>
      </c>
      <c r="F239" s="13">
        <f>F244</f>
        <v>2388.8</v>
      </c>
      <c r="G239" s="13">
        <f t="shared" si="77"/>
        <v>0</v>
      </c>
      <c r="H239" s="13">
        <f t="shared" si="77"/>
        <v>0</v>
      </c>
      <c r="I239" s="13">
        <f t="shared" si="77"/>
        <v>0</v>
      </c>
      <c r="J239" s="13">
        <f t="shared" si="77"/>
        <v>0</v>
      </c>
      <c r="K239" s="32"/>
      <c r="L239" s="91"/>
      <c r="M239" s="92"/>
      <c r="N239" s="92"/>
      <c r="O239" s="92"/>
      <c r="P239" s="92"/>
      <c r="Q239" s="92"/>
      <c r="R239" s="92"/>
      <c r="S239" s="92"/>
      <c r="T239" s="92"/>
    </row>
    <row r="240" spans="1:20" ht="16.5" thickBot="1">
      <c r="A240" s="77">
        <v>162</v>
      </c>
      <c r="B240" s="8" t="s">
        <v>16</v>
      </c>
      <c r="C240" s="13">
        <f>D240+E240+F240+G240+H240+I240+J240</f>
        <v>3360.7</v>
      </c>
      <c r="D240" s="24">
        <f>D241</f>
        <v>474.5999999999999</v>
      </c>
      <c r="E240" s="24">
        <f aca="true" t="shared" si="78" ref="E240:J241">E245+E250+E255</f>
        <v>497.09999999999997</v>
      </c>
      <c r="F240" s="24">
        <f>F241</f>
        <v>2389</v>
      </c>
      <c r="G240" s="24">
        <f t="shared" si="78"/>
        <v>0</v>
      </c>
      <c r="H240" s="24">
        <f t="shared" si="78"/>
        <v>0</v>
      </c>
      <c r="I240" s="24">
        <f t="shared" si="78"/>
        <v>0</v>
      </c>
      <c r="J240" s="24">
        <f t="shared" si="78"/>
        <v>0</v>
      </c>
      <c r="K240" s="32"/>
      <c r="L240" s="91"/>
      <c r="M240" s="92"/>
      <c r="N240" s="92"/>
      <c r="O240" s="92"/>
      <c r="P240" s="92"/>
      <c r="Q240" s="92"/>
      <c r="R240" s="92"/>
      <c r="S240" s="92"/>
      <c r="T240" s="92"/>
    </row>
    <row r="241" spans="1:31" s="41" customFormat="1" ht="32.25" thickBot="1">
      <c r="A241" s="77">
        <v>163</v>
      </c>
      <c r="B241" s="8" t="s">
        <v>75</v>
      </c>
      <c r="C241" s="13">
        <f>D241+E241+F241+G241+H241+I241+J241</f>
        <v>3360.7</v>
      </c>
      <c r="D241" s="13">
        <f>1245.1-770.5</f>
        <v>474.5999999999999</v>
      </c>
      <c r="E241" s="13">
        <f t="shared" si="78"/>
        <v>497.09999999999997</v>
      </c>
      <c r="F241" s="13">
        <f>F246+F251+F256</f>
        <v>2389</v>
      </c>
      <c r="G241" s="13">
        <f t="shared" si="78"/>
        <v>0</v>
      </c>
      <c r="H241" s="13">
        <f t="shared" si="78"/>
        <v>0</v>
      </c>
      <c r="I241" s="13">
        <f t="shared" si="78"/>
        <v>0</v>
      </c>
      <c r="J241" s="13">
        <f t="shared" si="78"/>
        <v>0</v>
      </c>
      <c r="K241" s="32"/>
      <c r="L241" s="91"/>
      <c r="M241" s="92"/>
      <c r="N241" s="92"/>
      <c r="O241" s="92"/>
      <c r="P241" s="92"/>
      <c r="Q241" s="92"/>
      <c r="R241" s="92"/>
      <c r="S241" s="92"/>
      <c r="T241" s="92"/>
      <c r="U241"/>
      <c r="V241"/>
      <c r="W241"/>
      <c r="X241"/>
      <c r="Y241" s="49"/>
      <c r="AC241"/>
      <c r="AD241"/>
      <c r="AE241"/>
    </row>
    <row r="242" spans="1:31" s="41" customFormat="1" ht="177.75" customHeight="1" thickBot="1">
      <c r="A242" s="77">
        <v>164</v>
      </c>
      <c r="B242" s="36" t="s">
        <v>96</v>
      </c>
      <c r="C242" s="16">
        <f aca="true" t="shared" si="79" ref="C242:J242">C243+C245</f>
        <v>7279.7</v>
      </c>
      <c r="D242" s="16">
        <f t="shared" si="79"/>
        <v>1719.6999999999998</v>
      </c>
      <c r="E242" s="16">
        <f t="shared" si="79"/>
        <v>782.2</v>
      </c>
      <c r="F242" s="16">
        <f t="shared" si="79"/>
        <v>4777.8</v>
      </c>
      <c r="G242" s="16">
        <f t="shared" si="79"/>
        <v>0</v>
      </c>
      <c r="H242" s="16">
        <f t="shared" si="79"/>
        <v>0</v>
      </c>
      <c r="I242" s="16">
        <f t="shared" si="79"/>
        <v>0</v>
      </c>
      <c r="J242" s="16">
        <f t="shared" si="79"/>
        <v>0</v>
      </c>
      <c r="K242" s="34">
        <v>52.53</v>
      </c>
      <c r="L242" s="74"/>
      <c r="M242" s="75"/>
      <c r="N242" s="75"/>
      <c r="O242" s="75"/>
      <c r="P242" s="75"/>
      <c r="Q242" s="75"/>
      <c r="R242" s="75"/>
      <c r="S242" s="75"/>
      <c r="T242" s="75"/>
      <c r="U242"/>
      <c r="V242"/>
      <c r="W242"/>
      <c r="X242"/>
      <c r="Y242" s="49"/>
      <c r="AC242"/>
      <c r="AD242"/>
      <c r="AE242"/>
    </row>
    <row r="243" spans="1:31" s="41" customFormat="1" ht="16.5" thickBot="1">
      <c r="A243" s="77">
        <v>165</v>
      </c>
      <c r="B243" s="8" t="s">
        <v>15</v>
      </c>
      <c r="C243" s="13">
        <f>D243+E243+F243+G243+H243+I243+J243</f>
        <v>4025</v>
      </c>
      <c r="D243" s="24">
        <v>1245.1</v>
      </c>
      <c r="E243" s="13">
        <f>W243</f>
        <v>391.1</v>
      </c>
      <c r="F243" s="13">
        <f>F244</f>
        <v>2388.8</v>
      </c>
      <c r="G243" s="13">
        <v>0</v>
      </c>
      <c r="H243" s="13">
        <v>0</v>
      </c>
      <c r="I243" s="13">
        <v>0</v>
      </c>
      <c r="J243" s="13">
        <v>0</v>
      </c>
      <c r="K243" s="32"/>
      <c r="L243" s="91"/>
      <c r="M243" s="92"/>
      <c r="N243" s="92"/>
      <c r="O243" s="92"/>
      <c r="P243" s="92"/>
      <c r="Q243" s="92"/>
      <c r="R243" s="92"/>
      <c r="S243" s="92"/>
      <c r="T243" s="92"/>
      <c r="U243"/>
      <c r="V243"/>
      <c r="W243">
        <v>391.1</v>
      </c>
      <c r="X243"/>
      <c r="Y243" s="49"/>
      <c r="AC243"/>
      <c r="AD243"/>
      <c r="AE243"/>
    </row>
    <row r="244" spans="1:32" s="41" customFormat="1" ht="32.25" thickBot="1">
      <c r="A244" s="77">
        <v>166</v>
      </c>
      <c r="B244" s="8" t="s">
        <v>74</v>
      </c>
      <c r="C244" s="13">
        <f>D244+E244+F244+G244+H244+I244+J244</f>
        <v>4025</v>
      </c>
      <c r="D244" s="24">
        <v>1245.1</v>
      </c>
      <c r="E244" s="13">
        <f>W244</f>
        <v>391.1</v>
      </c>
      <c r="F244" s="13">
        <f>AF244+F249+F254</f>
        <v>2388.8</v>
      </c>
      <c r="G244" s="13">
        <v>0</v>
      </c>
      <c r="H244" s="13">
        <v>0</v>
      </c>
      <c r="I244" s="13">
        <v>0</v>
      </c>
      <c r="J244" s="13">
        <v>0</v>
      </c>
      <c r="K244" s="32"/>
      <c r="L244" s="91"/>
      <c r="M244" s="92"/>
      <c r="N244" s="92"/>
      <c r="O244" s="92"/>
      <c r="P244" s="92"/>
      <c r="Q244" s="92"/>
      <c r="R244" s="92"/>
      <c r="S244" s="92"/>
      <c r="T244" s="92"/>
      <c r="U244"/>
      <c r="V244"/>
      <c r="W244">
        <v>391.1</v>
      </c>
      <c r="X244"/>
      <c r="Y244" s="49"/>
      <c r="AC244"/>
      <c r="AD244"/>
      <c r="AE244"/>
      <c r="AF244" s="41">
        <v>2388.8</v>
      </c>
    </row>
    <row r="245" spans="1:31" s="41" customFormat="1" ht="16.5" thickBot="1">
      <c r="A245" s="77">
        <v>167</v>
      </c>
      <c r="B245" s="8" t="s">
        <v>16</v>
      </c>
      <c r="C245" s="13">
        <f>D245+E245+F245+G245+H245+I245+J245</f>
        <v>3254.7</v>
      </c>
      <c r="D245" s="24">
        <f>D246</f>
        <v>474.5999999999999</v>
      </c>
      <c r="E245" s="24">
        <f>W245+X245+Y245</f>
        <v>391.09999999999997</v>
      </c>
      <c r="F245" s="13">
        <f>F246</f>
        <v>2389</v>
      </c>
      <c r="G245" s="13">
        <v>0</v>
      </c>
      <c r="H245" s="13">
        <v>0</v>
      </c>
      <c r="I245" s="13">
        <v>0</v>
      </c>
      <c r="J245" s="13">
        <v>0</v>
      </c>
      <c r="K245" s="32"/>
      <c r="L245" s="91"/>
      <c r="M245" s="92"/>
      <c r="N245" s="92"/>
      <c r="O245" s="92"/>
      <c r="P245" s="92"/>
      <c r="Q245" s="92"/>
      <c r="R245" s="92"/>
      <c r="S245" s="92"/>
      <c r="T245" s="92"/>
      <c r="U245"/>
      <c r="V245"/>
      <c r="W245">
        <v>287.2</v>
      </c>
      <c r="X245">
        <v>103.6</v>
      </c>
      <c r="Y245" s="49">
        <v>0.3</v>
      </c>
      <c r="AC245"/>
      <c r="AD245"/>
      <c r="AE245"/>
    </row>
    <row r="246" spans="1:32" s="41" customFormat="1" ht="32.25" thickBot="1">
      <c r="A246" s="77">
        <v>168</v>
      </c>
      <c r="B246" s="8" t="s">
        <v>75</v>
      </c>
      <c r="C246" s="13">
        <f>D246+E246+F246+G246+H246+I246+J246</f>
        <v>3254.7</v>
      </c>
      <c r="D246" s="13">
        <f>1245.1-770.5</f>
        <v>474.5999999999999</v>
      </c>
      <c r="E246" s="13">
        <f>W246+X246+Y246</f>
        <v>391.09999999999997</v>
      </c>
      <c r="F246" s="13">
        <f>AF246</f>
        <v>2389</v>
      </c>
      <c r="G246" s="13">
        <v>0</v>
      </c>
      <c r="H246" s="13">
        <v>0</v>
      </c>
      <c r="I246" s="13">
        <v>0</v>
      </c>
      <c r="J246" s="13">
        <v>0</v>
      </c>
      <c r="K246" s="32"/>
      <c r="L246" s="91"/>
      <c r="M246" s="92"/>
      <c r="N246" s="92"/>
      <c r="O246" s="92"/>
      <c r="P246" s="92"/>
      <c r="Q246" s="92"/>
      <c r="R246" s="92"/>
      <c r="S246" s="92"/>
      <c r="T246" s="92"/>
      <c r="U246"/>
      <c r="V246"/>
      <c r="W246">
        <v>287.2</v>
      </c>
      <c r="X246">
        <v>103.6</v>
      </c>
      <c r="Y246" s="49">
        <v>0.3</v>
      </c>
      <c r="AC246"/>
      <c r="AD246"/>
      <c r="AE246"/>
      <c r="AF246" s="41">
        <v>2389</v>
      </c>
    </row>
    <row r="247" spans="1:31" s="41" customFormat="1" ht="117" customHeight="1" thickBot="1">
      <c r="A247" s="77">
        <v>169</v>
      </c>
      <c r="B247" s="36" t="s">
        <v>97</v>
      </c>
      <c r="C247" s="16">
        <f aca="true" t="shared" si="80" ref="C247:J247">C248+C250</f>
        <v>94</v>
      </c>
      <c r="D247" s="16">
        <f t="shared" si="80"/>
        <v>0</v>
      </c>
      <c r="E247" s="16">
        <f t="shared" si="80"/>
        <v>94</v>
      </c>
      <c r="F247" s="16">
        <f t="shared" si="80"/>
        <v>0</v>
      </c>
      <c r="G247" s="16">
        <f t="shared" si="80"/>
        <v>0</v>
      </c>
      <c r="H247" s="16">
        <f t="shared" si="80"/>
        <v>0</v>
      </c>
      <c r="I247" s="16">
        <f t="shared" si="80"/>
        <v>0</v>
      </c>
      <c r="J247" s="16">
        <f t="shared" si="80"/>
        <v>0</v>
      </c>
      <c r="K247" s="34">
        <v>52.53</v>
      </c>
      <c r="L247" s="74"/>
      <c r="M247" s="75"/>
      <c r="N247" s="75"/>
      <c r="O247" s="75"/>
      <c r="P247" s="75"/>
      <c r="Q247" s="75"/>
      <c r="R247" s="75"/>
      <c r="S247" s="75"/>
      <c r="T247" s="75"/>
      <c r="U247"/>
      <c r="V247"/>
      <c r="W247"/>
      <c r="X247"/>
      <c r="Y247" s="49"/>
      <c r="AC247"/>
      <c r="AD247"/>
      <c r="AE247"/>
    </row>
    <row r="248" spans="1:31" s="41" customFormat="1" ht="16.5" thickBot="1">
      <c r="A248" s="77">
        <v>170</v>
      </c>
      <c r="B248" s="8" t="s">
        <v>15</v>
      </c>
      <c r="C248" s="13">
        <f>D248+E248+F248+G248+H248+I248+J248</f>
        <v>0</v>
      </c>
      <c r="D248" s="2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32"/>
      <c r="L248" s="91"/>
      <c r="M248" s="92"/>
      <c r="N248" s="92"/>
      <c r="O248" s="92"/>
      <c r="P248" s="92"/>
      <c r="Q248" s="92"/>
      <c r="R248" s="92"/>
      <c r="S248" s="92"/>
      <c r="T248" s="92"/>
      <c r="U248"/>
      <c r="V248"/>
      <c r="W248"/>
      <c r="X248"/>
      <c r="Y248" s="49"/>
      <c r="AC248"/>
      <c r="AD248"/>
      <c r="AE248"/>
    </row>
    <row r="249" spans="1:31" s="41" customFormat="1" ht="32.25" thickBot="1">
      <c r="A249" s="77">
        <v>171</v>
      </c>
      <c r="B249" s="8" t="s">
        <v>74</v>
      </c>
      <c r="C249" s="13">
        <f>D249+E249+F249+G249+H249+I249+J249</f>
        <v>0</v>
      </c>
      <c r="D249" s="2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32"/>
      <c r="L249" s="91"/>
      <c r="M249" s="92"/>
      <c r="N249" s="92"/>
      <c r="O249" s="92"/>
      <c r="P249" s="92"/>
      <c r="Q249" s="92"/>
      <c r="R249" s="92"/>
      <c r="S249" s="92"/>
      <c r="T249" s="92"/>
      <c r="U249"/>
      <c r="V249"/>
      <c r="W249"/>
      <c r="X249"/>
      <c r="Y249" s="49"/>
      <c r="AC249"/>
      <c r="AD249"/>
      <c r="AE249"/>
    </row>
    <row r="250" spans="1:31" s="41" customFormat="1" ht="16.5" thickBot="1">
      <c r="A250" s="77">
        <v>172</v>
      </c>
      <c r="B250" s="8" t="s">
        <v>16</v>
      </c>
      <c r="C250" s="13">
        <f>D250+E250+F250+G250+H250+I250+J250</f>
        <v>94</v>
      </c>
      <c r="D250" s="24">
        <f>D251</f>
        <v>0</v>
      </c>
      <c r="E250" s="24">
        <f>E251</f>
        <v>94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32"/>
      <c r="L250" s="91"/>
      <c r="M250" s="92"/>
      <c r="N250" s="92"/>
      <c r="O250" s="92"/>
      <c r="P250" s="92"/>
      <c r="Q250" s="92"/>
      <c r="R250" s="92"/>
      <c r="S250" s="92"/>
      <c r="T250" s="92"/>
      <c r="U250"/>
      <c r="V250">
        <v>94.3</v>
      </c>
      <c r="W250"/>
      <c r="X250"/>
      <c r="Y250" s="49">
        <v>-0.3</v>
      </c>
      <c r="AC250"/>
      <c r="AD250"/>
      <c r="AE250"/>
    </row>
    <row r="251" spans="1:31" s="41" customFormat="1" ht="32.25" thickBot="1">
      <c r="A251" s="77">
        <v>173</v>
      </c>
      <c r="B251" s="8" t="s">
        <v>75</v>
      </c>
      <c r="C251" s="13">
        <f>D251+E251+F251+G251+H251+I251+J251</f>
        <v>94</v>
      </c>
      <c r="D251" s="13">
        <v>0</v>
      </c>
      <c r="E251" s="13">
        <f>V251+Y251</f>
        <v>94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32"/>
      <c r="L251" s="91"/>
      <c r="M251" s="92"/>
      <c r="N251" s="92"/>
      <c r="O251" s="92"/>
      <c r="P251" s="92"/>
      <c r="Q251" s="92"/>
      <c r="R251" s="92"/>
      <c r="S251" s="92"/>
      <c r="T251" s="92"/>
      <c r="U251"/>
      <c r="V251">
        <v>94.3</v>
      </c>
      <c r="W251"/>
      <c r="X251"/>
      <c r="Y251" s="49">
        <v>-0.3</v>
      </c>
      <c r="AC251"/>
      <c r="AD251"/>
      <c r="AE251"/>
    </row>
    <row r="252" spans="1:31" s="41" customFormat="1" ht="86.25" customHeight="1" thickBot="1">
      <c r="A252" s="77">
        <v>169</v>
      </c>
      <c r="B252" s="36" t="s">
        <v>104</v>
      </c>
      <c r="C252" s="16">
        <f aca="true" t="shared" si="81" ref="C252:J252">C253+C257</f>
        <v>0</v>
      </c>
      <c r="D252" s="16">
        <f t="shared" si="81"/>
        <v>0</v>
      </c>
      <c r="E252" s="16">
        <f t="shared" si="81"/>
        <v>0</v>
      </c>
      <c r="F252" s="16">
        <f t="shared" si="81"/>
        <v>0</v>
      </c>
      <c r="G252" s="16">
        <f t="shared" si="81"/>
        <v>0</v>
      </c>
      <c r="H252" s="16">
        <f t="shared" si="81"/>
        <v>0</v>
      </c>
      <c r="I252" s="16">
        <f t="shared" si="81"/>
        <v>0</v>
      </c>
      <c r="J252" s="16">
        <f t="shared" si="81"/>
        <v>0</v>
      </c>
      <c r="K252" s="34">
        <v>52.53</v>
      </c>
      <c r="L252" s="74"/>
      <c r="M252" s="75"/>
      <c r="N252" s="75"/>
      <c r="O252" s="75"/>
      <c r="P252" s="75"/>
      <c r="Q252" s="75"/>
      <c r="R252" s="75"/>
      <c r="S252" s="75"/>
      <c r="T252" s="75"/>
      <c r="U252"/>
      <c r="V252"/>
      <c r="W252"/>
      <c r="X252"/>
      <c r="Y252" s="49"/>
      <c r="AC252"/>
      <c r="AD252"/>
      <c r="AE252"/>
    </row>
    <row r="253" spans="1:31" s="41" customFormat="1" ht="16.5" thickBot="1">
      <c r="A253" s="77">
        <v>170</v>
      </c>
      <c r="B253" s="8" t="s">
        <v>15</v>
      </c>
      <c r="C253" s="13">
        <f>D253+E253+F253+G253+H253+I253+J253</f>
        <v>0</v>
      </c>
      <c r="D253" s="2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32"/>
      <c r="L253" s="91"/>
      <c r="M253" s="92"/>
      <c r="N253" s="92"/>
      <c r="O253" s="92"/>
      <c r="P253" s="92"/>
      <c r="Q253" s="92"/>
      <c r="R253" s="92"/>
      <c r="S253" s="92"/>
      <c r="T253" s="92"/>
      <c r="U253"/>
      <c r="V253"/>
      <c r="W253"/>
      <c r="X253"/>
      <c r="Y253" s="49"/>
      <c r="AC253"/>
      <c r="AD253"/>
      <c r="AE253"/>
    </row>
    <row r="254" spans="1:31" s="41" customFormat="1" ht="32.25" thickBot="1">
      <c r="A254" s="77">
        <v>171</v>
      </c>
      <c r="B254" s="8" t="s">
        <v>74</v>
      </c>
      <c r="C254" s="13">
        <f>D254+E254+F254+G254+H254+I254+J254</f>
        <v>0</v>
      </c>
      <c r="D254" s="2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32"/>
      <c r="L254" s="91"/>
      <c r="M254" s="92"/>
      <c r="N254" s="92"/>
      <c r="O254" s="92"/>
      <c r="P254" s="92"/>
      <c r="Q254" s="92"/>
      <c r="R254" s="92"/>
      <c r="S254" s="92"/>
      <c r="T254" s="92"/>
      <c r="U254"/>
      <c r="V254"/>
      <c r="W254"/>
      <c r="X254"/>
      <c r="Y254" s="49"/>
      <c r="AC254"/>
      <c r="AD254"/>
      <c r="AE254"/>
    </row>
    <row r="255" spans="1:31" s="41" customFormat="1" ht="16.5" thickBot="1">
      <c r="A255" s="77">
        <v>172</v>
      </c>
      <c r="B255" s="8" t="s">
        <v>16</v>
      </c>
      <c r="C255" s="13">
        <f>D255+E255+F255+G255+H255+I255+J255</f>
        <v>12</v>
      </c>
      <c r="D255" s="24">
        <f>D256</f>
        <v>0</v>
      </c>
      <c r="E255" s="24">
        <f>E256</f>
        <v>12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32"/>
      <c r="L255" s="91"/>
      <c r="M255" s="92"/>
      <c r="N255" s="92"/>
      <c r="O255" s="92"/>
      <c r="P255" s="92"/>
      <c r="Q255" s="92"/>
      <c r="R255" s="92"/>
      <c r="S255" s="92"/>
      <c r="T255" s="92"/>
      <c r="U255"/>
      <c r="V255"/>
      <c r="W255"/>
      <c r="X255"/>
      <c r="Y255" s="49"/>
      <c r="AA255" s="41">
        <v>12</v>
      </c>
      <c r="AC255"/>
      <c r="AD255"/>
      <c r="AE255"/>
    </row>
    <row r="256" spans="1:31" s="41" customFormat="1" ht="32.25" thickBot="1">
      <c r="A256" s="77">
        <v>173</v>
      </c>
      <c r="B256" s="8" t="s">
        <v>75</v>
      </c>
      <c r="C256" s="13">
        <f>D256+E256+F256+G256+H256+I256+J256</f>
        <v>12</v>
      </c>
      <c r="D256" s="13">
        <v>0</v>
      </c>
      <c r="E256" s="13">
        <f>V256+Y256+AA256</f>
        <v>12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32"/>
      <c r="L256" s="91"/>
      <c r="M256" s="92"/>
      <c r="N256" s="92"/>
      <c r="O256" s="92"/>
      <c r="P256" s="92"/>
      <c r="Q256" s="92"/>
      <c r="R256" s="92"/>
      <c r="S256" s="92"/>
      <c r="T256" s="92"/>
      <c r="U256"/>
      <c r="V256"/>
      <c r="W256"/>
      <c r="X256"/>
      <c r="Y256" s="49"/>
      <c r="AA256" s="41">
        <v>12</v>
      </c>
      <c r="AC256"/>
      <c r="AD256"/>
      <c r="AE256"/>
    </row>
    <row r="257" spans="1:28" ht="31.5" customHeight="1" thickBot="1">
      <c r="A257" s="77">
        <v>174</v>
      </c>
      <c r="B257" s="102" t="s">
        <v>34</v>
      </c>
      <c r="C257" s="103"/>
      <c r="D257" s="103"/>
      <c r="E257" s="103"/>
      <c r="F257" s="103"/>
      <c r="G257" s="103"/>
      <c r="H257" s="103"/>
      <c r="I257" s="103"/>
      <c r="J257" s="103"/>
      <c r="K257" s="104"/>
      <c r="L257" s="91"/>
      <c r="M257" s="92"/>
      <c r="N257" s="92"/>
      <c r="O257" s="92"/>
      <c r="P257" s="92"/>
      <c r="Q257" s="92"/>
      <c r="R257" s="92"/>
      <c r="S257" s="92"/>
      <c r="T257" s="92"/>
      <c r="AB257" s="41">
        <f>AB273</f>
        <v>34.9</v>
      </c>
    </row>
    <row r="258" spans="1:20" ht="48" thickBot="1">
      <c r="A258" s="77">
        <v>175</v>
      </c>
      <c r="B258" s="8" t="s">
        <v>20</v>
      </c>
      <c r="C258" s="16">
        <f>C259+C261</f>
        <v>1253.8999999999999</v>
      </c>
      <c r="D258" s="16">
        <f>D259+D261</f>
        <v>120.9</v>
      </c>
      <c r="E258" s="16">
        <f aca="true" t="shared" si="82" ref="E258:J258">E259+E261</f>
        <v>207.1</v>
      </c>
      <c r="F258" s="16">
        <f t="shared" si="82"/>
        <v>205.3</v>
      </c>
      <c r="G258" s="16">
        <f t="shared" si="82"/>
        <v>181.3</v>
      </c>
      <c r="H258" s="16">
        <f t="shared" si="82"/>
        <v>181.3</v>
      </c>
      <c r="I258" s="16">
        <f t="shared" si="82"/>
        <v>181.3</v>
      </c>
      <c r="J258" s="16">
        <f t="shared" si="82"/>
        <v>181.3</v>
      </c>
      <c r="K258" s="10"/>
      <c r="L258" s="91"/>
      <c r="M258" s="92"/>
      <c r="N258" s="92"/>
      <c r="O258" s="92"/>
      <c r="P258" s="92"/>
      <c r="Q258" s="92"/>
      <c r="R258" s="92"/>
      <c r="S258" s="92"/>
      <c r="T258" s="92"/>
    </row>
    <row r="259" spans="1:20" ht="16.5" thickBot="1">
      <c r="A259" s="77">
        <v>176</v>
      </c>
      <c r="B259" s="8" t="s">
        <v>15</v>
      </c>
      <c r="C259" s="13">
        <f aca="true" t="shared" si="83" ref="C259:J260">C268+C233</f>
        <v>51.8</v>
      </c>
      <c r="D259" s="13">
        <f t="shared" si="83"/>
        <v>0</v>
      </c>
      <c r="E259" s="13">
        <f>E273+E268</f>
        <v>34.9</v>
      </c>
      <c r="F259" s="13">
        <f>F268+F273</f>
        <v>21.5</v>
      </c>
      <c r="G259" s="13">
        <f t="shared" si="83"/>
        <v>0</v>
      </c>
      <c r="H259" s="13">
        <f t="shared" si="83"/>
        <v>0</v>
      </c>
      <c r="I259" s="13">
        <f t="shared" si="83"/>
        <v>0</v>
      </c>
      <c r="J259" s="13">
        <f t="shared" si="83"/>
        <v>0</v>
      </c>
      <c r="K259" s="10"/>
      <c r="L259" s="91"/>
      <c r="M259" s="92"/>
      <c r="N259" s="92"/>
      <c r="O259" s="92"/>
      <c r="P259" s="92"/>
      <c r="Q259" s="92"/>
      <c r="R259" s="92"/>
      <c r="S259" s="92"/>
      <c r="T259" s="92"/>
    </row>
    <row r="260" spans="1:20" ht="48" thickBot="1">
      <c r="A260" s="77">
        <v>177</v>
      </c>
      <c r="B260" s="8" t="s">
        <v>44</v>
      </c>
      <c r="C260" s="13">
        <f t="shared" si="83"/>
        <v>0</v>
      </c>
      <c r="D260" s="13">
        <f t="shared" si="83"/>
        <v>0</v>
      </c>
      <c r="E260" s="13">
        <f>E269+E234</f>
        <v>0</v>
      </c>
      <c r="F260" s="13">
        <f t="shared" si="83"/>
        <v>0</v>
      </c>
      <c r="G260" s="13">
        <f t="shared" si="83"/>
        <v>0</v>
      </c>
      <c r="H260" s="13">
        <f t="shared" si="83"/>
        <v>0</v>
      </c>
      <c r="I260" s="13">
        <f t="shared" si="83"/>
        <v>0</v>
      </c>
      <c r="J260" s="13">
        <f t="shared" si="83"/>
        <v>0</v>
      </c>
      <c r="K260" s="10"/>
      <c r="L260" s="91"/>
      <c r="M260" s="92"/>
      <c r="N260" s="92"/>
      <c r="O260" s="92"/>
      <c r="P260" s="92"/>
      <c r="Q260" s="92"/>
      <c r="R260" s="92"/>
      <c r="S260" s="92"/>
      <c r="T260" s="92"/>
    </row>
    <row r="261" spans="1:20" ht="16.5" thickBot="1">
      <c r="A261" s="77">
        <v>178</v>
      </c>
      <c r="B261" s="8" t="s">
        <v>16</v>
      </c>
      <c r="C261" s="13">
        <f>C270+C275</f>
        <v>1202.1</v>
      </c>
      <c r="D261" s="13">
        <f>D270</f>
        <v>120.9</v>
      </c>
      <c r="E261" s="13">
        <f aca="true" t="shared" si="84" ref="E261:J261">E270+E275</f>
        <v>172.2</v>
      </c>
      <c r="F261" s="13">
        <f t="shared" si="84"/>
        <v>183.8</v>
      </c>
      <c r="G261" s="13">
        <f t="shared" si="84"/>
        <v>181.3</v>
      </c>
      <c r="H261" s="13">
        <f t="shared" si="84"/>
        <v>181.3</v>
      </c>
      <c r="I261" s="13">
        <f t="shared" si="84"/>
        <v>181.3</v>
      </c>
      <c r="J261" s="13">
        <f t="shared" si="84"/>
        <v>181.3</v>
      </c>
      <c r="K261" s="10"/>
      <c r="L261" s="91"/>
      <c r="M261" s="92"/>
      <c r="N261" s="92"/>
      <c r="O261" s="92"/>
      <c r="P261" s="92"/>
      <c r="Q261" s="92"/>
      <c r="R261" s="92"/>
      <c r="S261" s="92"/>
      <c r="T261" s="92"/>
    </row>
    <row r="262" spans="1:20" ht="48" thickBot="1">
      <c r="A262" s="77">
        <v>179</v>
      </c>
      <c r="B262" s="8" t="s">
        <v>44</v>
      </c>
      <c r="C262" s="13">
        <f>C271+C236</f>
        <v>739.4</v>
      </c>
      <c r="D262" s="13">
        <f aca="true" t="shared" si="85" ref="D262:J262">D271+D236</f>
        <v>84.80000000000001</v>
      </c>
      <c r="E262" s="13">
        <f t="shared" si="85"/>
        <v>142.1</v>
      </c>
      <c r="F262" s="13">
        <f t="shared" si="85"/>
        <v>102.5</v>
      </c>
      <c r="G262" s="13">
        <f t="shared" si="85"/>
        <v>102.5</v>
      </c>
      <c r="H262" s="13">
        <f t="shared" si="85"/>
        <v>102.5</v>
      </c>
      <c r="I262" s="13">
        <f t="shared" si="85"/>
        <v>102.5</v>
      </c>
      <c r="J262" s="13">
        <f t="shared" si="85"/>
        <v>102.5</v>
      </c>
      <c r="K262" s="10"/>
      <c r="L262" s="91"/>
      <c r="M262" s="92"/>
      <c r="N262" s="92"/>
      <c r="O262" s="92"/>
      <c r="P262" s="92"/>
      <c r="Q262" s="92"/>
      <c r="R262" s="92"/>
      <c r="S262" s="92"/>
      <c r="T262" s="92"/>
    </row>
    <row r="263" spans="1:20" ht="16.5" customHeight="1" hidden="1" thickBot="1">
      <c r="A263" s="77"/>
      <c r="B263" s="8" t="s">
        <v>17</v>
      </c>
      <c r="C263" s="13"/>
      <c r="D263" s="13"/>
      <c r="E263" s="13"/>
      <c r="F263" s="13"/>
      <c r="G263" s="13"/>
      <c r="H263" s="13"/>
      <c r="I263" s="13"/>
      <c r="J263" s="13"/>
      <c r="K263" s="10"/>
      <c r="L263" s="91"/>
      <c r="M263" s="92"/>
      <c r="N263" s="92"/>
      <c r="O263" s="92"/>
      <c r="P263" s="92"/>
      <c r="Q263" s="92"/>
      <c r="R263" s="92"/>
      <c r="S263" s="92"/>
      <c r="T263" s="92"/>
    </row>
    <row r="264" spans="1:20" ht="16.5" customHeight="1" hidden="1" thickBot="1">
      <c r="A264" s="77"/>
      <c r="B264" s="8" t="s">
        <v>15</v>
      </c>
      <c r="C264" s="13"/>
      <c r="D264" s="13"/>
      <c r="E264" s="13"/>
      <c r="F264" s="13"/>
      <c r="G264" s="13"/>
      <c r="H264" s="13"/>
      <c r="I264" s="13"/>
      <c r="J264" s="13"/>
      <c r="K264" s="10"/>
      <c r="L264" s="91"/>
      <c r="M264" s="92"/>
      <c r="N264" s="92"/>
      <c r="O264" s="92"/>
      <c r="P264" s="92"/>
      <c r="Q264" s="92"/>
      <c r="R264" s="92"/>
      <c r="S264" s="92"/>
      <c r="T264" s="92"/>
    </row>
    <row r="265" spans="1:20" ht="16.5" customHeight="1" hidden="1" thickBot="1">
      <c r="A265" s="77"/>
      <c r="B265" s="8" t="s">
        <v>16</v>
      </c>
      <c r="C265" s="13"/>
      <c r="D265" s="13"/>
      <c r="E265" s="13"/>
      <c r="F265" s="13"/>
      <c r="G265" s="13"/>
      <c r="H265" s="13"/>
      <c r="I265" s="13"/>
      <c r="J265" s="13"/>
      <c r="K265" s="10"/>
      <c r="L265" s="91"/>
      <c r="M265" s="92"/>
      <c r="N265" s="92"/>
      <c r="O265" s="92"/>
      <c r="P265" s="92"/>
      <c r="Q265" s="92"/>
      <c r="R265" s="92"/>
      <c r="S265" s="92"/>
      <c r="T265" s="92"/>
    </row>
    <row r="266" spans="1:20" ht="48" customHeight="1" hidden="1" thickBot="1">
      <c r="A266" s="77"/>
      <c r="B266" s="8" t="s">
        <v>33</v>
      </c>
      <c r="C266" s="13"/>
      <c r="D266" s="13"/>
      <c r="E266" s="13"/>
      <c r="F266" s="13"/>
      <c r="G266" s="13"/>
      <c r="H266" s="13"/>
      <c r="I266" s="13"/>
      <c r="J266" s="13"/>
      <c r="K266" s="10"/>
      <c r="L266" s="91"/>
      <c r="M266" s="92"/>
      <c r="N266" s="92"/>
      <c r="O266" s="92"/>
      <c r="P266" s="92"/>
      <c r="Q266" s="92"/>
      <c r="R266" s="92"/>
      <c r="S266" s="92"/>
      <c r="T266" s="92"/>
    </row>
    <row r="267" spans="1:20" ht="102" customHeight="1" thickBot="1">
      <c r="A267" s="77">
        <v>180</v>
      </c>
      <c r="B267" s="31" t="s">
        <v>65</v>
      </c>
      <c r="C267" s="16">
        <f>C268+C270</f>
        <v>865.9</v>
      </c>
      <c r="D267" s="16">
        <f aca="true" t="shared" si="86" ref="D267:J267">D268+D270</f>
        <v>120.9</v>
      </c>
      <c r="E267" s="16">
        <f t="shared" si="86"/>
        <v>117.5</v>
      </c>
      <c r="F267" s="16">
        <f t="shared" si="86"/>
        <v>127.5</v>
      </c>
      <c r="G267" s="16">
        <f t="shared" si="86"/>
        <v>125</v>
      </c>
      <c r="H267" s="16">
        <f t="shared" si="86"/>
        <v>125</v>
      </c>
      <c r="I267" s="16">
        <f t="shared" si="86"/>
        <v>125</v>
      </c>
      <c r="J267" s="16">
        <f t="shared" si="86"/>
        <v>125</v>
      </c>
      <c r="K267" s="29">
        <v>56.57</v>
      </c>
      <c r="L267" s="91"/>
      <c r="M267" s="92"/>
      <c r="N267" s="92"/>
      <c r="O267" s="92"/>
      <c r="P267" s="92"/>
      <c r="Q267" s="92"/>
      <c r="R267" s="92"/>
      <c r="S267" s="92"/>
      <c r="T267" s="92"/>
    </row>
    <row r="268" spans="1:20" ht="16.5" thickBot="1">
      <c r="A268" s="77">
        <v>181</v>
      </c>
      <c r="B268" s="8" t="s">
        <v>15</v>
      </c>
      <c r="C268" s="13">
        <f>D268+E268+F268+G268+H268+I268+J268</f>
        <v>0</v>
      </c>
      <c r="D268" s="13"/>
      <c r="E268" s="13"/>
      <c r="F268" s="13"/>
      <c r="G268" s="13"/>
      <c r="H268" s="13"/>
      <c r="I268" s="13"/>
      <c r="J268" s="13"/>
      <c r="K268" s="10"/>
      <c r="L268" s="91"/>
      <c r="M268" s="92"/>
      <c r="N268" s="92"/>
      <c r="O268" s="92"/>
      <c r="P268" s="92"/>
      <c r="Q268" s="92"/>
      <c r="R268" s="92"/>
      <c r="S268" s="92"/>
      <c r="T268" s="92"/>
    </row>
    <row r="269" spans="1:20" ht="48" thickBot="1">
      <c r="A269" s="77">
        <v>182</v>
      </c>
      <c r="B269" s="8" t="s">
        <v>44</v>
      </c>
      <c r="C269" s="13">
        <f>D269+E269+F269+G269+H269+I269+J269</f>
        <v>0</v>
      </c>
      <c r="D269" s="13"/>
      <c r="E269" s="13"/>
      <c r="F269" s="13"/>
      <c r="G269" s="13"/>
      <c r="H269" s="13"/>
      <c r="I269" s="13"/>
      <c r="J269" s="13"/>
      <c r="K269" s="10"/>
      <c r="L269" s="91"/>
      <c r="M269" s="92"/>
      <c r="N269" s="92"/>
      <c r="O269" s="92"/>
      <c r="P269" s="92"/>
      <c r="Q269" s="92"/>
      <c r="R269" s="92"/>
      <c r="S269" s="92"/>
      <c r="T269" s="92"/>
    </row>
    <row r="270" spans="1:30" ht="16.5" thickBot="1">
      <c r="A270" s="77">
        <v>183</v>
      </c>
      <c r="B270" s="8" t="s">
        <v>16</v>
      </c>
      <c r="C270" s="13">
        <f>D270+E270+F270+G270+H270+I270+J270</f>
        <v>865.9</v>
      </c>
      <c r="D270" s="13">
        <v>120.9</v>
      </c>
      <c r="E270" s="13">
        <f>101+Y270+AD270</f>
        <v>117.5</v>
      </c>
      <c r="F270" s="13">
        <v>127.5</v>
      </c>
      <c r="G270" s="13">
        <v>125</v>
      </c>
      <c r="H270" s="13">
        <f aca="true" t="shared" si="87" ref="G270:J271">G270</f>
        <v>125</v>
      </c>
      <c r="I270" s="13">
        <f t="shared" si="87"/>
        <v>125</v>
      </c>
      <c r="J270" s="13">
        <f t="shared" si="87"/>
        <v>125</v>
      </c>
      <c r="K270" s="10"/>
      <c r="L270" s="91"/>
      <c r="M270" s="92"/>
      <c r="N270" s="92"/>
      <c r="O270" s="92"/>
      <c r="P270" s="92"/>
      <c r="Q270" s="92"/>
      <c r="R270" s="92"/>
      <c r="S270" s="92"/>
      <c r="T270" s="92"/>
      <c r="Y270" s="49">
        <v>16.9</v>
      </c>
      <c r="AD270">
        <v>-0.4</v>
      </c>
    </row>
    <row r="271" spans="1:25" ht="48" thickBot="1">
      <c r="A271" s="77">
        <v>184</v>
      </c>
      <c r="B271" s="8" t="s">
        <v>44</v>
      </c>
      <c r="C271" s="13">
        <f>D271+E271+F271+G271+H271+I271+J271</f>
        <v>688.4</v>
      </c>
      <c r="D271" s="13">
        <f>126.4-41.6</f>
        <v>84.80000000000001</v>
      </c>
      <c r="E271" s="13">
        <f>55+Y271</f>
        <v>91.1</v>
      </c>
      <c r="F271" s="13">
        <v>102.5</v>
      </c>
      <c r="G271" s="13">
        <f t="shared" si="87"/>
        <v>102.5</v>
      </c>
      <c r="H271" s="13">
        <f t="shared" si="87"/>
        <v>102.5</v>
      </c>
      <c r="I271" s="13">
        <f t="shared" si="87"/>
        <v>102.5</v>
      </c>
      <c r="J271" s="13">
        <f t="shared" si="87"/>
        <v>102.5</v>
      </c>
      <c r="K271" s="10"/>
      <c r="L271" s="91"/>
      <c r="M271" s="92"/>
      <c r="N271" s="92"/>
      <c r="O271" s="92"/>
      <c r="P271" s="92"/>
      <c r="Q271" s="92"/>
      <c r="R271" s="92"/>
      <c r="S271" s="92"/>
      <c r="T271" s="92"/>
      <c r="Y271" s="49">
        <f>46-9.9</f>
        <v>36.1</v>
      </c>
    </row>
    <row r="272" spans="1:20" ht="125.25" customHeight="1" thickBot="1">
      <c r="A272" s="77">
        <v>185</v>
      </c>
      <c r="B272" s="31" t="s">
        <v>94</v>
      </c>
      <c r="C272" s="16">
        <f>C273+C275</f>
        <v>392.6</v>
      </c>
      <c r="D272" s="16">
        <f aca="true" t="shared" si="88" ref="D272:J272">D273+D275</f>
        <v>0</v>
      </c>
      <c r="E272" s="16">
        <f t="shared" si="88"/>
        <v>89.6</v>
      </c>
      <c r="F272" s="16">
        <f t="shared" si="88"/>
        <v>77.8</v>
      </c>
      <c r="G272" s="16">
        <f t="shared" si="88"/>
        <v>56.3</v>
      </c>
      <c r="H272" s="16">
        <f t="shared" si="88"/>
        <v>56.3</v>
      </c>
      <c r="I272" s="16">
        <f t="shared" si="88"/>
        <v>56.3</v>
      </c>
      <c r="J272" s="16">
        <f t="shared" si="88"/>
        <v>56.3</v>
      </c>
      <c r="K272" s="29">
        <v>56.57</v>
      </c>
      <c r="L272" s="91"/>
      <c r="M272" s="92"/>
      <c r="N272" s="92"/>
      <c r="O272" s="92"/>
      <c r="P272" s="92"/>
      <c r="Q272" s="92"/>
      <c r="R272" s="92"/>
      <c r="S272" s="92"/>
      <c r="T272" s="92"/>
    </row>
    <row r="273" spans="1:32" ht="16.5" thickBot="1">
      <c r="A273" s="77">
        <v>186</v>
      </c>
      <c r="B273" s="8" t="s">
        <v>15</v>
      </c>
      <c r="C273" s="13">
        <f>D273+E273+F273+G273+H273+I273+J273</f>
        <v>56.4</v>
      </c>
      <c r="D273" s="13"/>
      <c r="E273" s="13">
        <f>AB273</f>
        <v>34.9</v>
      </c>
      <c r="F273" s="13">
        <f>AF273</f>
        <v>21.5</v>
      </c>
      <c r="G273" s="13"/>
      <c r="H273" s="13"/>
      <c r="I273" s="13"/>
      <c r="J273" s="13"/>
      <c r="K273" s="10"/>
      <c r="L273" s="91"/>
      <c r="M273" s="92"/>
      <c r="N273" s="92"/>
      <c r="O273" s="92"/>
      <c r="P273" s="92"/>
      <c r="Q273" s="92"/>
      <c r="R273" s="92"/>
      <c r="S273" s="92"/>
      <c r="T273" s="92"/>
      <c r="AB273" s="41">
        <v>34.9</v>
      </c>
      <c r="AF273">
        <v>21.5</v>
      </c>
    </row>
    <row r="274" spans="1:32" ht="48" thickBot="1">
      <c r="A274" s="77">
        <v>187</v>
      </c>
      <c r="B274" s="8" t="s">
        <v>44</v>
      </c>
      <c r="C274" s="13">
        <f>D274+E274+F274+G274+H274+I274+J274</f>
        <v>56.4</v>
      </c>
      <c r="D274" s="13"/>
      <c r="E274" s="13">
        <f>AB274</f>
        <v>34.9</v>
      </c>
      <c r="F274" s="13">
        <f>AF274</f>
        <v>21.5</v>
      </c>
      <c r="G274" s="13"/>
      <c r="H274" s="13"/>
      <c r="I274" s="13"/>
      <c r="J274" s="13"/>
      <c r="K274" s="10"/>
      <c r="L274" s="91"/>
      <c r="M274" s="92"/>
      <c r="N274" s="92"/>
      <c r="O274" s="92"/>
      <c r="P274" s="92"/>
      <c r="Q274" s="92"/>
      <c r="R274" s="92"/>
      <c r="S274" s="92"/>
      <c r="T274" s="92"/>
      <c r="AB274" s="41">
        <v>34.9</v>
      </c>
      <c r="AF274">
        <v>21.5</v>
      </c>
    </row>
    <row r="275" spans="1:25" ht="16.5" thickBot="1">
      <c r="A275" s="77">
        <v>188</v>
      </c>
      <c r="B275" s="8" t="s">
        <v>16</v>
      </c>
      <c r="C275" s="13">
        <f>D275+E275+F275+G275+H275+I275+J275</f>
        <v>336.20000000000005</v>
      </c>
      <c r="D275" s="13">
        <v>0</v>
      </c>
      <c r="E275" s="13">
        <f>E276</f>
        <v>54.699999999999996</v>
      </c>
      <c r="F275" s="13">
        <f>F276</f>
        <v>56.3</v>
      </c>
      <c r="G275" s="13">
        <f>G276</f>
        <v>56.3</v>
      </c>
      <c r="H275" s="13">
        <f>G275</f>
        <v>56.3</v>
      </c>
      <c r="I275" s="13">
        <f>H275</f>
        <v>56.3</v>
      </c>
      <c r="J275" s="13">
        <f>I275</f>
        <v>56.3</v>
      </c>
      <c r="K275" s="10"/>
      <c r="L275" s="91"/>
      <c r="M275" s="92"/>
      <c r="N275" s="92"/>
      <c r="O275" s="92"/>
      <c r="P275" s="92"/>
      <c r="Q275" s="92"/>
      <c r="R275" s="92"/>
      <c r="S275" s="92"/>
      <c r="T275" s="92"/>
      <c r="Y275" s="49">
        <v>-16.9</v>
      </c>
    </row>
    <row r="276" spans="1:25" ht="48" thickBot="1">
      <c r="A276" s="77">
        <v>189</v>
      </c>
      <c r="B276" s="8" t="s">
        <v>44</v>
      </c>
      <c r="C276" s="13">
        <f>D276+E276+F276+G276+H276+I276+J276</f>
        <v>336.20000000000005</v>
      </c>
      <c r="D276" s="13">
        <v>0</v>
      </c>
      <c r="E276" s="13">
        <f>71.6+Y276</f>
        <v>54.699999999999996</v>
      </c>
      <c r="F276" s="13">
        <v>56.3</v>
      </c>
      <c r="G276" s="13">
        <v>56.3</v>
      </c>
      <c r="H276" s="13">
        <v>56.3</v>
      </c>
      <c r="I276" s="13">
        <f>H276</f>
        <v>56.3</v>
      </c>
      <c r="J276" s="13">
        <f>I276</f>
        <v>56.3</v>
      </c>
      <c r="K276" s="10"/>
      <c r="L276" s="91"/>
      <c r="M276" s="92"/>
      <c r="N276" s="92"/>
      <c r="O276" s="92"/>
      <c r="P276" s="92"/>
      <c r="Q276" s="92"/>
      <c r="R276" s="92"/>
      <c r="S276" s="92"/>
      <c r="T276" s="92"/>
      <c r="Y276" s="49">
        <v>-16.9</v>
      </c>
    </row>
    <row r="277" spans="1:20" ht="15.75" customHeight="1">
      <c r="A277" s="94">
        <v>200</v>
      </c>
      <c r="B277" s="96" t="s">
        <v>35</v>
      </c>
      <c r="C277" s="97"/>
      <c r="D277" s="97"/>
      <c r="E277" s="97"/>
      <c r="F277" s="97"/>
      <c r="G277" s="97"/>
      <c r="H277" s="97"/>
      <c r="I277" s="97"/>
      <c r="J277" s="97"/>
      <c r="K277" s="98"/>
      <c r="L277" s="91"/>
      <c r="M277" s="92"/>
      <c r="N277" s="92"/>
      <c r="O277" s="92"/>
      <c r="P277" s="92"/>
      <c r="Q277" s="92"/>
      <c r="R277" s="92"/>
      <c r="S277" s="92"/>
      <c r="T277" s="92"/>
    </row>
    <row r="278" spans="1:20" ht="16.5" thickBot="1">
      <c r="A278" s="95"/>
      <c r="B278" s="99" t="s">
        <v>36</v>
      </c>
      <c r="C278" s="100"/>
      <c r="D278" s="100"/>
      <c r="E278" s="100"/>
      <c r="F278" s="100"/>
      <c r="G278" s="100"/>
      <c r="H278" s="100"/>
      <c r="I278" s="100"/>
      <c r="J278" s="100"/>
      <c r="K278" s="101"/>
      <c r="L278" s="91"/>
      <c r="M278" s="92"/>
      <c r="N278" s="92"/>
      <c r="O278" s="92"/>
      <c r="P278" s="92"/>
      <c r="Q278" s="92"/>
      <c r="R278" s="92"/>
      <c r="S278" s="92"/>
      <c r="T278" s="92"/>
    </row>
    <row r="279" spans="1:20" ht="48" thickBot="1">
      <c r="A279" s="77">
        <v>201</v>
      </c>
      <c r="B279" s="8" t="s">
        <v>20</v>
      </c>
      <c r="C279" s="18">
        <f>C280</f>
        <v>52716.9</v>
      </c>
      <c r="D279" s="18">
        <f aca="true" t="shared" si="89" ref="D279:J279">D280</f>
        <v>6855.499999999999</v>
      </c>
      <c r="E279" s="18">
        <f t="shared" si="89"/>
        <v>7386.9</v>
      </c>
      <c r="F279" s="18">
        <f t="shared" si="89"/>
        <v>8293.3</v>
      </c>
      <c r="G279" s="18">
        <f t="shared" si="89"/>
        <v>7545.3</v>
      </c>
      <c r="H279" s="18">
        <f t="shared" si="89"/>
        <v>7545.3</v>
      </c>
      <c r="I279" s="18">
        <f t="shared" si="89"/>
        <v>7545.3</v>
      </c>
      <c r="J279" s="18">
        <f t="shared" si="89"/>
        <v>7545.3</v>
      </c>
      <c r="K279" s="32"/>
      <c r="L279" s="91"/>
      <c r="M279" s="92"/>
      <c r="N279" s="92"/>
      <c r="O279" s="92"/>
      <c r="P279" s="92"/>
      <c r="Q279" s="92"/>
      <c r="R279" s="92"/>
      <c r="S279" s="92"/>
      <c r="T279" s="92"/>
    </row>
    <row r="280" spans="1:20" ht="16.5" thickBot="1">
      <c r="A280" s="77">
        <v>202</v>
      </c>
      <c r="B280" s="8" t="s">
        <v>23</v>
      </c>
      <c r="C280" s="18">
        <f>D280+E280+F280+G280+H280+I280+J280</f>
        <v>52716.9</v>
      </c>
      <c r="D280" s="19">
        <f aca="true" t="shared" si="90" ref="D280:J280">D284+D286+D288</f>
        <v>6855.499999999999</v>
      </c>
      <c r="E280" s="19">
        <f t="shared" si="90"/>
        <v>7386.9</v>
      </c>
      <c r="F280" s="19">
        <f t="shared" si="90"/>
        <v>8293.3</v>
      </c>
      <c r="G280" s="19">
        <f t="shared" si="90"/>
        <v>7545.3</v>
      </c>
      <c r="H280" s="19">
        <f t="shared" si="90"/>
        <v>7545.3</v>
      </c>
      <c r="I280" s="19">
        <f t="shared" si="90"/>
        <v>7545.3</v>
      </c>
      <c r="J280" s="19">
        <f t="shared" si="90"/>
        <v>7545.3</v>
      </c>
      <c r="K280" s="32"/>
      <c r="L280" s="91"/>
      <c r="M280" s="92"/>
      <c r="N280" s="92"/>
      <c r="O280" s="92"/>
      <c r="P280" s="92"/>
      <c r="Q280" s="92"/>
      <c r="R280" s="92"/>
      <c r="S280" s="92"/>
      <c r="T280" s="92"/>
    </row>
    <row r="281" spans="1:20" ht="16.5" customHeight="1" hidden="1" thickBot="1">
      <c r="A281" s="77"/>
      <c r="B281" s="8" t="s">
        <v>17</v>
      </c>
      <c r="C281" s="19"/>
      <c r="D281" s="19"/>
      <c r="E281" s="19"/>
      <c r="F281" s="19"/>
      <c r="G281" s="19"/>
      <c r="H281" s="19"/>
      <c r="I281" s="19"/>
      <c r="J281" s="19"/>
      <c r="K281" s="32"/>
      <c r="L281" s="91"/>
      <c r="M281" s="92"/>
      <c r="N281" s="92"/>
      <c r="O281" s="92"/>
      <c r="P281" s="92"/>
      <c r="Q281" s="92"/>
      <c r="R281" s="92"/>
      <c r="S281" s="92"/>
      <c r="T281" s="92"/>
    </row>
    <row r="282" spans="1:20" ht="16.5" customHeight="1" hidden="1" thickBot="1">
      <c r="A282" s="77"/>
      <c r="B282" s="8" t="s">
        <v>37</v>
      </c>
      <c r="C282" s="19"/>
      <c r="D282" s="19"/>
      <c r="E282" s="19"/>
      <c r="F282" s="19"/>
      <c r="G282" s="19"/>
      <c r="H282" s="19"/>
      <c r="I282" s="19"/>
      <c r="J282" s="19"/>
      <c r="K282" s="32"/>
      <c r="L282" s="91"/>
      <c r="M282" s="92"/>
      <c r="N282" s="92"/>
      <c r="O282" s="92"/>
      <c r="P282" s="92"/>
      <c r="Q282" s="92"/>
      <c r="R282" s="92"/>
      <c r="S282" s="92"/>
      <c r="T282" s="92"/>
    </row>
    <row r="283" spans="1:20" ht="95.25" thickBot="1">
      <c r="A283" s="77">
        <v>203</v>
      </c>
      <c r="B283" s="31" t="s">
        <v>71</v>
      </c>
      <c r="C283" s="18">
        <f>C284</f>
        <v>52471.50000000001</v>
      </c>
      <c r="D283" s="18">
        <f aca="true" t="shared" si="91" ref="D283:J283">D284</f>
        <v>6829.599999999999</v>
      </c>
      <c r="E283" s="18">
        <f t="shared" si="91"/>
        <v>7353.4</v>
      </c>
      <c r="F283" s="18">
        <f t="shared" si="91"/>
        <v>8255.3</v>
      </c>
      <c r="G283" s="18">
        <f t="shared" si="91"/>
        <v>7508.3</v>
      </c>
      <c r="H283" s="18">
        <f t="shared" si="91"/>
        <v>7508.3</v>
      </c>
      <c r="I283" s="18">
        <f t="shared" si="91"/>
        <v>7508.3</v>
      </c>
      <c r="J283" s="18">
        <f t="shared" si="91"/>
        <v>7508.3</v>
      </c>
      <c r="K283" s="35" t="s">
        <v>92</v>
      </c>
      <c r="L283" s="91"/>
      <c r="M283" s="92"/>
      <c r="N283" s="92"/>
      <c r="O283" s="92"/>
      <c r="P283" s="92"/>
      <c r="Q283" s="92"/>
      <c r="R283" s="92"/>
      <c r="S283" s="92"/>
      <c r="T283" s="92"/>
    </row>
    <row r="284" spans="1:32" ht="16.5" thickBot="1">
      <c r="A284" s="77">
        <v>204</v>
      </c>
      <c r="B284" s="8" t="s">
        <v>16</v>
      </c>
      <c r="C284" s="18">
        <f>D284+E284+F284+G284+H284+I284+J284</f>
        <v>52471.50000000001</v>
      </c>
      <c r="D284" s="19">
        <f>7622.9-100-693.3</f>
        <v>6829.599999999999</v>
      </c>
      <c r="E284" s="19">
        <f>7257.2+AD284+AE284</f>
        <v>7353.4</v>
      </c>
      <c r="F284" s="19">
        <f>7793.3+AF284</f>
        <v>8255.3</v>
      </c>
      <c r="G284" s="19">
        <v>7508.3</v>
      </c>
      <c r="H284" s="19">
        <f>G284</f>
        <v>7508.3</v>
      </c>
      <c r="I284" s="19">
        <f>H284</f>
        <v>7508.3</v>
      </c>
      <c r="J284" s="19">
        <f>I284</f>
        <v>7508.3</v>
      </c>
      <c r="K284" s="32"/>
      <c r="L284" s="91"/>
      <c r="M284" s="92"/>
      <c r="N284" s="92"/>
      <c r="O284" s="92"/>
      <c r="P284" s="92"/>
      <c r="Q284" s="92"/>
      <c r="R284" s="92"/>
      <c r="S284" s="92"/>
      <c r="T284" s="92"/>
      <c r="AD284">
        <v>174</v>
      </c>
      <c r="AE284">
        <v>-77.8</v>
      </c>
      <c r="AF284">
        <v>462</v>
      </c>
    </row>
    <row r="285" spans="1:27" ht="79.5" thickBot="1">
      <c r="A285" s="77">
        <v>205</v>
      </c>
      <c r="B285" s="31" t="s">
        <v>52</v>
      </c>
      <c r="C285" s="18">
        <f>C286</f>
        <v>245.4</v>
      </c>
      <c r="D285" s="18">
        <f aca="true" t="shared" si="92" ref="D285:J285">D286</f>
        <v>25.9</v>
      </c>
      <c r="E285" s="18">
        <f t="shared" si="92"/>
        <v>33.5</v>
      </c>
      <c r="F285" s="18">
        <f t="shared" si="92"/>
        <v>38</v>
      </c>
      <c r="G285" s="18">
        <f t="shared" si="92"/>
        <v>37</v>
      </c>
      <c r="H285" s="18">
        <f t="shared" si="92"/>
        <v>37</v>
      </c>
      <c r="I285" s="18">
        <f t="shared" si="92"/>
        <v>37</v>
      </c>
      <c r="J285" s="18">
        <f t="shared" si="92"/>
        <v>37</v>
      </c>
      <c r="K285" s="35">
        <v>62.64</v>
      </c>
      <c r="L285" s="30"/>
      <c r="M285" s="19"/>
      <c r="N285" s="19"/>
      <c r="O285" s="19"/>
      <c r="P285" s="19"/>
      <c r="Q285" s="19"/>
      <c r="R285" s="10"/>
      <c r="S285" s="91"/>
      <c r="T285" s="92"/>
      <c r="U285" s="92"/>
      <c r="V285" s="92"/>
      <c r="W285" s="92"/>
      <c r="X285" s="92"/>
      <c r="Y285" s="92"/>
      <c r="Z285" s="92"/>
      <c r="AA285" s="92"/>
    </row>
    <row r="286" spans="1:20" ht="16.5" thickBot="1">
      <c r="A286" s="77">
        <v>206</v>
      </c>
      <c r="B286" s="8" t="s">
        <v>37</v>
      </c>
      <c r="C286" s="18">
        <f>D286+E286+F286+G286+H286+I286+J286</f>
        <v>245.4</v>
      </c>
      <c r="D286" s="19">
        <f>32-6.1</f>
        <v>25.9</v>
      </c>
      <c r="E286" s="19">
        <v>33.5</v>
      </c>
      <c r="F286" s="19">
        <v>38</v>
      </c>
      <c r="G286" s="19">
        <v>37</v>
      </c>
      <c r="H286" s="19">
        <f>G286</f>
        <v>37</v>
      </c>
      <c r="I286" s="19">
        <f>H286</f>
        <v>37</v>
      </c>
      <c r="J286" s="19">
        <f>I286</f>
        <v>37</v>
      </c>
      <c r="K286" s="32"/>
      <c r="L286" s="91"/>
      <c r="M286" s="92"/>
      <c r="N286" s="92"/>
      <c r="O286" s="92"/>
      <c r="P286" s="92"/>
      <c r="Q286" s="92"/>
      <c r="R286" s="92"/>
      <c r="S286" s="92"/>
      <c r="T286" s="92"/>
    </row>
    <row r="287" spans="1:20" ht="63.75" customHeight="1" hidden="1" thickBot="1">
      <c r="A287" s="77"/>
      <c r="B287" s="8" t="s">
        <v>53</v>
      </c>
      <c r="C287" s="18">
        <f>C288</f>
        <v>0</v>
      </c>
      <c r="D287" s="18">
        <f aca="true" t="shared" si="93" ref="D287:J287">D288</f>
        <v>0</v>
      </c>
      <c r="E287" s="18">
        <f t="shared" si="93"/>
        <v>0</v>
      </c>
      <c r="F287" s="18">
        <f t="shared" si="93"/>
        <v>0</v>
      </c>
      <c r="G287" s="18">
        <f t="shared" si="93"/>
        <v>0</v>
      </c>
      <c r="H287" s="18">
        <f t="shared" si="93"/>
        <v>0</v>
      </c>
      <c r="I287" s="18">
        <f t="shared" si="93"/>
        <v>0</v>
      </c>
      <c r="J287" s="18">
        <f t="shared" si="93"/>
        <v>0</v>
      </c>
      <c r="K287" s="10"/>
      <c r="L287" s="91"/>
      <c r="M287" s="93"/>
      <c r="N287" s="93"/>
      <c r="O287" s="93"/>
      <c r="P287" s="93"/>
      <c r="Q287" s="93"/>
      <c r="R287" s="93"/>
      <c r="S287" s="93"/>
      <c r="T287" s="93"/>
    </row>
    <row r="288" spans="1:20" ht="16.5" customHeight="1" hidden="1" thickBot="1">
      <c r="A288" s="77"/>
      <c r="B288" s="8" t="s">
        <v>16</v>
      </c>
      <c r="C288" s="18">
        <f>D288+E288+F288+G288+H288+I288+J288</f>
        <v>0</v>
      </c>
      <c r="D288" s="19"/>
      <c r="E288" s="19"/>
      <c r="F288" s="19"/>
      <c r="G288" s="19"/>
      <c r="H288" s="19"/>
      <c r="I288" s="19"/>
      <c r="J288" s="19"/>
      <c r="K288" s="10"/>
      <c r="L288" s="91"/>
      <c r="M288" s="93"/>
      <c r="N288" s="93"/>
      <c r="O288" s="93"/>
      <c r="P288" s="93"/>
      <c r="Q288" s="93"/>
      <c r="R288" s="93"/>
      <c r="S288" s="93"/>
      <c r="T288" s="93"/>
    </row>
    <row r="289" ht="15.75">
      <c r="A289" s="4"/>
    </row>
  </sheetData>
  <sheetProtection/>
  <mergeCells count="427">
    <mergeCell ref="L286:T286"/>
    <mergeCell ref="L287:T287"/>
    <mergeCell ref="L288:T288"/>
    <mergeCell ref="L280:T280"/>
    <mergeCell ref="L281:T281"/>
    <mergeCell ref="L282:T282"/>
    <mergeCell ref="L283:T283"/>
    <mergeCell ref="L284:T284"/>
    <mergeCell ref="S285:AA285"/>
    <mergeCell ref="L276:T276"/>
    <mergeCell ref="A277:A278"/>
    <mergeCell ref="B277:K277"/>
    <mergeCell ref="L277:T278"/>
    <mergeCell ref="B278:K278"/>
    <mergeCell ref="L279:T279"/>
    <mergeCell ref="L270:T270"/>
    <mergeCell ref="L271:T271"/>
    <mergeCell ref="L272:T272"/>
    <mergeCell ref="L273:T273"/>
    <mergeCell ref="L274:T274"/>
    <mergeCell ref="L275:T275"/>
    <mergeCell ref="L264:T264"/>
    <mergeCell ref="L265:T265"/>
    <mergeCell ref="L266:T266"/>
    <mergeCell ref="L267:T267"/>
    <mergeCell ref="L268:T268"/>
    <mergeCell ref="L269:T269"/>
    <mergeCell ref="L258:T258"/>
    <mergeCell ref="L259:T259"/>
    <mergeCell ref="L260:T260"/>
    <mergeCell ref="L261:T261"/>
    <mergeCell ref="L262:T262"/>
    <mergeCell ref="L263:T263"/>
    <mergeCell ref="L251:T251"/>
    <mergeCell ref="L253:T253"/>
    <mergeCell ref="L254:T254"/>
    <mergeCell ref="L255:T255"/>
    <mergeCell ref="L256:T256"/>
    <mergeCell ref="B257:K257"/>
    <mergeCell ref="L257:T257"/>
    <mergeCell ref="L244:T244"/>
    <mergeCell ref="L245:T245"/>
    <mergeCell ref="L246:T246"/>
    <mergeCell ref="L248:T248"/>
    <mergeCell ref="L249:T249"/>
    <mergeCell ref="L250:T250"/>
    <mergeCell ref="L236:T236"/>
    <mergeCell ref="L238:T238"/>
    <mergeCell ref="L239:T239"/>
    <mergeCell ref="L240:T240"/>
    <mergeCell ref="L241:T241"/>
    <mergeCell ref="L243:T243"/>
    <mergeCell ref="L231:T231"/>
    <mergeCell ref="K232:K233"/>
    <mergeCell ref="L232:T232"/>
    <mergeCell ref="L233:T233"/>
    <mergeCell ref="L234:T234"/>
    <mergeCell ref="L235:T235"/>
    <mergeCell ref="H228:H229"/>
    <mergeCell ref="I228:I229"/>
    <mergeCell ref="J228:J229"/>
    <mergeCell ref="K228:K229"/>
    <mergeCell ref="L228:T229"/>
    <mergeCell ref="L230:T230"/>
    <mergeCell ref="A228:A229"/>
    <mergeCell ref="C228:C229"/>
    <mergeCell ref="D228:D229"/>
    <mergeCell ref="E228:E229"/>
    <mergeCell ref="F228:F229"/>
    <mergeCell ref="G228:G229"/>
    <mergeCell ref="L222:T222"/>
    <mergeCell ref="L223:T223"/>
    <mergeCell ref="L224:T224"/>
    <mergeCell ref="L225:T225"/>
    <mergeCell ref="L226:T226"/>
    <mergeCell ref="L227:T227"/>
    <mergeCell ref="J217:J218"/>
    <mergeCell ref="K217:K218"/>
    <mergeCell ref="L217:T218"/>
    <mergeCell ref="L219:T219"/>
    <mergeCell ref="L220:T220"/>
    <mergeCell ref="L221:T221"/>
    <mergeCell ref="L215:T215"/>
    <mergeCell ref="L216:T216"/>
    <mergeCell ref="A217:A218"/>
    <mergeCell ref="C217:C218"/>
    <mergeCell ref="D217:D218"/>
    <mergeCell ref="E217:E218"/>
    <mergeCell ref="F217:F218"/>
    <mergeCell ref="G217:G218"/>
    <mergeCell ref="H217:H218"/>
    <mergeCell ref="I217:I218"/>
    <mergeCell ref="L209:T209"/>
    <mergeCell ref="L210:T210"/>
    <mergeCell ref="L211:T211"/>
    <mergeCell ref="L212:T212"/>
    <mergeCell ref="L213:T213"/>
    <mergeCell ref="L214:T214"/>
    <mergeCell ref="L203:T203"/>
    <mergeCell ref="L204:T204"/>
    <mergeCell ref="L205:T205"/>
    <mergeCell ref="L206:T206"/>
    <mergeCell ref="L207:T207"/>
    <mergeCell ref="B208:K208"/>
    <mergeCell ref="L208:T208"/>
    <mergeCell ref="H200:H201"/>
    <mergeCell ref="I200:I201"/>
    <mergeCell ref="J200:J201"/>
    <mergeCell ref="K200:K201"/>
    <mergeCell ref="L200:T201"/>
    <mergeCell ref="L202:T202"/>
    <mergeCell ref="A200:A201"/>
    <mergeCell ref="C200:C201"/>
    <mergeCell ref="D200:D201"/>
    <mergeCell ref="E200:E201"/>
    <mergeCell ref="F200:F201"/>
    <mergeCell ref="G200:G201"/>
    <mergeCell ref="L194:T194"/>
    <mergeCell ref="L195:T195"/>
    <mergeCell ref="L196:T196"/>
    <mergeCell ref="L197:T197"/>
    <mergeCell ref="L198:T198"/>
    <mergeCell ref="L199:T199"/>
    <mergeCell ref="K189:K190"/>
    <mergeCell ref="L189:T190"/>
    <mergeCell ref="L191:T191"/>
    <mergeCell ref="A192:A193"/>
    <mergeCell ref="L192:T192"/>
    <mergeCell ref="L193:T193"/>
    <mergeCell ref="L188:T188"/>
    <mergeCell ref="A189:A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2:K183"/>
    <mergeCell ref="L182:T183"/>
    <mergeCell ref="L184:T184"/>
    <mergeCell ref="L185:T185"/>
    <mergeCell ref="L186:T186"/>
    <mergeCell ref="L187:T187"/>
    <mergeCell ref="L181:T181"/>
    <mergeCell ref="A182:A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L175:T175"/>
    <mergeCell ref="L176:T176"/>
    <mergeCell ref="L177:T177"/>
    <mergeCell ref="L178:T178"/>
    <mergeCell ref="L179:T179"/>
    <mergeCell ref="L180:T180"/>
    <mergeCell ref="L169:T169"/>
    <mergeCell ref="L170:T170"/>
    <mergeCell ref="L171:T171"/>
    <mergeCell ref="L172:T172"/>
    <mergeCell ref="L173:T173"/>
    <mergeCell ref="L174:T174"/>
    <mergeCell ref="L163:T163"/>
    <mergeCell ref="L164:T164"/>
    <mergeCell ref="L165:T165"/>
    <mergeCell ref="L166:T166"/>
    <mergeCell ref="L167:T167"/>
    <mergeCell ref="B168:K168"/>
    <mergeCell ref="L168:T168"/>
    <mergeCell ref="H160:H161"/>
    <mergeCell ref="I160:I161"/>
    <mergeCell ref="J160:J161"/>
    <mergeCell ref="K160:K161"/>
    <mergeCell ref="L160:T161"/>
    <mergeCell ref="L162:T162"/>
    <mergeCell ref="A160:A161"/>
    <mergeCell ref="C160:C161"/>
    <mergeCell ref="D160:D161"/>
    <mergeCell ref="E160:E161"/>
    <mergeCell ref="F160:F161"/>
    <mergeCell ref="G160:G161"/>
    <mergeCell ref="L154:T154"/>
    <mergeCell ref="L155:T155"/>
    <mergeCell ref="L156:T156"/>
    <mergeCell ref="L157:T157"/>
    <mergeCell ref="L158:T158"/>
    <mergeCell ref="L159:T159"/>
    <mergeCell ref="G151:G152"/>
    <mergeCell ref="H151:H152"/>
    <mergeCell ref="I151:I152"/>
    <mergeCell ref="J151:J152"/>
    <mergeCell ref="K151:K152"/>
    <mergeCell ref="L151:T152"/>
    <mergeCell ref="L146:T146"/>
    <mergeCell ref="L147:T147"/>
    <mergeCell ref="L148:T148"/>
    <mergeCell ref="L149:T149"/>
    <mergeCell ref="L150:T150"/>
    <mergeCell ref="A151:A152"/>
    <mergeCell ref="C151:C152"/>
    <mergeCell ref="D151:D152"/>
    <mergeCell ref="E151:E152"/>
    <mergeCell ref="F151:F152"/>
    <mergeCell ref="J140:J141"/>
    <mergeCell ref="L140:T141"/>
    <mergeCell ref="L142:T142"/>
    <mergeCell ref="L143:T143"/>
    <mergeCell ref="L144:T144"/>
    <mergeCell ref="L145:T145"/>
    <mergeCell ref="L138:T138"/>
    <mergeCell ref="L139:T139"/>
    <mergeCell ref="A140:A141"/>
    <mergeCell ref="C140:C141"/>
    <mergeCell ref="D140:D141"/>
    <mergeCell ref="E140:E141"/>
    <mergeCell ref="F140:F141"/>
    <mergeCell ref="G140:G141"/>
    <mergeCell ref="H140:H141"/>
    <mergeCell ref="I140:I141"/>
    <mergeCell ref="I134:I135"/>
    <mergeCell ref="J134:J135"/>
    <mergeCell ref="K134:K135"/>
    <mergeCell ref="L134:T135"/>
    <mergeCell ref="L136:T136"/>
    <mergeCell ref="L137:T137"/>
    <mergeCell ref="L131:T131"/>
    <mergeCell ref="L132:T132"/>
    <mergeCell ref="L133:T133"/>
    <mergeCell ref="A134:A135"/>
    <mergeCell ref="C134:C135"/>
    <mergeCell ref="D134:D135"/>
    <mergeCell ref="E134:E135"/>
    <mergeCell ref="F134:F135"/>
    <mergeCell ref="G134:G135"/>
    <mergeCell ref="H134:H135"/>
    <mergeCell ref="H128:H129"/>
    <mergeCell ref="I128:I129"/>
    <mergeCell ref="J128:J129"/>
    <mergeCell ref="K128:K129"/>
    <mergeCell ref="L128:T129"/>
    <mergeCell ref="L130:T130"/>
    <mergeCell ref="A128:A129"/>
    <mergeCell ref="C128:C129"/>
    <mergeCell ref="D128:D129"/>
    <mergeCell ref="E128:E129"/>
    <mergeCell ref="F128:F129"/>
    <mergeCell ref="G128:G129"/>
    <mergeCell ref="K122:K123"/>
    <mergeCell ref="L122:T123"/>
    <mergeCell ref="L124:T124"/>
    <mergeCell ref="L125:T125"/>
    <mergeCell ref="L126:T126"/>
    <mergeCell ref="L127:T127"/>
    <mergeCell ref="L121:T121"/>
    <mergeCell ref="A122:A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H118:H119"/>
    <mergeCell ref="I118:I119"/>
    <mergeCell ref="J118:J119"/>
    <mergeCell ref="K118:K119"/>
    <mergeCell ref="L118:T119"/>
    <mergeCell ref="L120:T120"/>
    <mergeCell ref="L114:T114"/>
    <mergeCell ref="L115:T115"/>
    <mergeCell ref="L116:T116"/>
    <mergeCell ref="L117:T117"/>
    <mergeCell ref="A118:A119"/>
    <mergeCell ref="C118:C119"/>
    <mergeCell ref="D118:D119"/>
    <mergeCell ref="E118:E119"/>
    <mergeCell ref="F118:F119"/>
    <mergeCell ref="G118:G119"/>
    <mergeCell ref="L108:T108"/>
    <mergeCell ref="L109:T109"/>
    <mergeCell ref="L110:T110"/>
    <mergeCell ref="L111:T111"/>
    <mergeCell ref="L112:T112"/>
    <mergeCell ref="L113:T113"/>
    <mergeCell ref="L102:T102"/>
    <mergeCell ref="L103:T103"/>
    <mergeCell ref="L104:T104"/>
    <mergeCell ref="L105:T105"/>
    <mergeCell ref="L106:T106"/>
    <mergeCell ref="L107:T107"/>
    <mergeCell ref="L96:T96"/>
    <mergeCell ref="L97:T97"/>
    <mergeCell ref="L98:T98"/>
    <mergeCell ref="L99:T99"/>
    <mergeCell ref="L100:T100"/>
    <mergeCell ref="L101:T101"/>
    <mergeCell ref="L90:T90"/>
    <mergeCell ref="L91:T91"/>
    <mergeCell ref="L92:T92"/>
    <mergeCell ref="L93:T93"/>
    <mergeCell ref="L94:T94"/>
    <mergeCell ref="L95:T95"/>
    <mergeCell ref="L84:T84"/>
    <mergeCell ref="L85:T85"/>
    <mergeCell ref="L86:T86"/>
    <mergeCell ref="L87:T87"/>
    <mergeCell ref="L88:T88"/>
    <mergeCell ref="L89:T89"/>
    <mergeCell ref="L78:T78"/>
    <mergeCell ref="L79:T79"/>
    <mergeCell ref="L80:T80"/>
    <mergeCell ref="L81:T81"/>
    <mergeCell ref="L82:T82"/>
    <mergeCell ref="L83:T83"/>
    <mergeCell ref="B73:K73"/>
    <mergeCell ref="L73:T73"/>
    <mergeCell ref="L74:T74"/>
    <mergeCell ref="L75:T75"/>
    <mergeCell ref="L76:T76"/>
    <mergeCell ref="L77:T77"/>
    <mergeCell ref="L67:T67"/>
    <mergeCell ref="L68:T68"/>
    <mergeCell ref="L69:T69"/>
    <mergeCell ref="L70:T70"/>
    <mergeCell ref="L71:T71"/>
    <mergeCell ref="L72:T72"/>
    <mergeCell ref="G65:G66"/>
    <mergeCell ref="H65:H66"/>
    <mergeCell ref="I65:I66"/>
    <mergeCell ref="J65:J66"/>
    <mergeCell ref="K65:K66"/>
    <mergeCell ref="L65:T66"/>
    <mergeCell ref="L60:T60"/>
    <mergeCell ref="L61:T61"/>
    <mergeCell ref="L62:T62"/>
    <mergeCell ref="L63:T63"/>
    <mergeCell ref="L64:T64"/>
    <mergeCell ref="A65:A66"/>
    <mergeCell ref="C65:C66"/>
    <mergeCell ref="D65:D66"/>
    <mergeCell ref="E65:E66"/>
    <mergeCell ref="F65:F66"/>
    <mergeCell ref="J54:J55"/>
    <mergeCell ref="L54:T55"/>
    <mergeCell ref="L56:T56"/>
    <mergeCell ref="L57:T57"/>
    <mergeCell ref="L58:T58"/>
    <mergeCell ref="L59:T59"/>
    <mergeCell ref="L52:T52"/>
    <mergeCell ref="L53:T53"/>
    <mergeCell ref="A54:A55"/>
    <mergeCell ref="C54:C55"/>
    <mergeCell ref="D54:D55"/>
    <mergeCell ref="E54:E55"/>
    <mergeCell ref="F54:F55"/>
    <mergeCell ref="G54:G55"/>
    <mergeCell ref="H54:H55"/>
    <mergeCell ref="I54:I55"/>
    <mergeCell ref="I48:I49"/>
    <mergeCell ref="J48:J49"/>
    <mergeCell ref="K48:K49"/>
    <mergeCell ref="L48:T49"/>
    <mergeCell ref="L50:T50"/>
    <mergeCell ref="L51:T51"/>
    <mergeCell ref="L44:T45"/>
    <mergeCell ref="L46:T46"/>
    <mergeCell ref="L47:T47"/>
    <mergeCell ref="A48:A49"/>
    <mergeCell ref="C48:C49"/>
    <mergeCell ref="D48:D49"/>
    <mergeCell ref="E48:E49"/>
    <mergeCell ref="F48:F49"/>
    <mergeCell ref="G48:G49"/>
    <mergeCell ref="H48:H49"/>
    <mergeCell ref="L43:T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36:T36"/>
    <mergeCell ref="L37:T37"/>
    <mergeCell ref="L38:T38"/>
    <mergeCell ref="L39:T39"/>
    <mergeCell ref="L40:T40"/>
    <mergeCell ref="L42:T42"/>
    <mergeCell ref="L30:T30"/>
    <mergeCell ref="L31:T31"/>
    <mergeCell ref="L32:T32"/>
    <mergeCell ref="L33:T33"/>
    <mergeCell ref="L34:T34"/>
    <mergeCell ref="L35:T35"/>
    <mergeCell ref="L24:T24"/>
    <mergeCell ref="L25:T25"/>
    <mergeCell ref="L26:T26"/>
    <mergeCell ref="L27:T27"/>
    <mergeCell ref="L28:T28"/>
    <mergeCell ref="L29:T29"/>
    <mergeCell ref="L18:T18"/>
    <mergeCell ref="L19:T19"/>
    <mergeCell ref="L20:T20"/>
    <mergeCell ref="L21:T21"/>
    <mergeCell ref="L22:T22"/>
    <mergeCell ref="B23:K23"/>
    <mergeCell ref="L23:T23"/>
    <mergeCell ref="L12:T12"/>
    <mergeCell ref="L13:T13"/>
    <mergeCell ref="L14:T14"/>
    <mergeCell ref="L15:T15"/>
    <mergeCell ref="L16:T16"/>
    <mergeCell ref="L17:T17"/>
    <mergeCell ref="J1:K1"/>
    <mergeCell ref="A2:K2"/>
    <mergeCell ref="A3:K3"/>
    <mergeCell ref="B6:B10"/>
    <mergeCell ref="C6:J9"/>
    <mergeCell ref="L11:T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8" manualBreakCount="18">
    <brk id="22" max="31" man="1"/>
    <brk id="40" max="31" man="1"/>
    <brk id="47" max="31" man="1"/>
    <brk id="72" max="31" man="1"/>
    <brk id="90" max="31" man="1"/>
    <brk id="99" max="31" man="1"/>
    <brk id="109" max="31" man="1"/>
    <brk id="114" max="31" man="1"/>
    <brk id="127" max="31" man="1"/>
    <brk id="139" max="31" man="1"/>
    <brk id="159" max="31" man="1"/>
    <brk id="167" max="31" man="1"/>
    <brk id="181" max="31" man="1"/>
    <brk id="194" max="31" man="1"/>
    <brk id="207" max="31" man="1"/>
    <brk id="231" max="31" man="1"/>
    <brk id="256" max="31" man="1"/>
    <brk id="27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2016-05-16T05:47:55Z</dcterms:modified>
  <cp:category/>
  <cp:version/>
  <cp:contentType/>
  <cp:contentStatus/>
</cp:coreProperties>
</file>