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2022-2024" sheetId="1" r:id="rId1"/>
  </sheets>
  <definedNames>
    <definedName name="sub_191" localSheetId="0">'2022-2024'!$A$16</definedName>
    <definedName name="_xlnm.Print_Area" localSheetId="0">'2022-2024'!$A$1:$L$355</definedName>
  </definedNames>
  <calcPr fullCalcOnLoad="1"/>
</workbook>
</file>

<file path=xl/sharedStrings.xml><?xml version="1.0" encoding="utf-8"?>
<sst xmlns="http://schemas.openxmlformats.org/spreadsheetml/2006/main" count="648" uniqueCount="184">
  <si>
    <t>№</t>
  </si>
  <si>
    <t>стро-ки</t>
  </si>
  <si>
    <t xml:space="preserve">Объем расходов на выполнение мероприятия за счет всех источников ресурсного обеспечения, тыс. рублей </t>
  </si>
  <si>
    <t>Всего</t>
  </si>
  <si>
    <t>областной бюджет</t>
  </si>
  <si>
    <t>местный бюджет</t>
  </si>
  <si>
    <t>Прочие нужды</t>
  </si>
  <si>
    <t>в том числе субсидии  бюджетам ОУ</t>
  </si>
  <si>
    <t>ВСЕГО ПО ПОДПРОГРАММЕ, В ТОМ ЧИСЛЕ</t>
  </si>
  <si>
    <t>Мероприятие 5</t>
  </si>
  <si>
    <t>Местный бюджет</t>
  </si>
  <si>
    <t>местный  бюджет</t>
  </si>
  <si>
    <t>Мероприятие 7</t>
  </si>
  <si>
    <t>Мероприятие 8.</t>
  </si>
  <si>
    <t>Мероприятие 2</t>
  </si>
  <si>
    <t>Мероприятие 4</t>
  </si>
  <si>
    <t>Мероприятие 1</t>
  </si>
  <si>
    <t>Организация профилактической работы по профилактики ВИЧ, наркомании, туберкулеза, всего ,из них</t>
  </si>
  <si>
    <t>в том числе субсидии образовательным организациям</t>
  </si>
  <si>
    <t>Местный  бюджет</t>
  </si>
  <si>
    <t>в том числе субсидии  бюджетным и автономным ДОУ</t>
  </si>
  <si>
    <t>федеральныйй бюджет</t>
  </si>
  <si>
    <t>областной  бюджет</t>
  </si>
  <si>
    <t>Мероприятие 6</t>
  </si>
  <si>
    <t>в том числе субсидии  бюджетным и автономным ОУ</t>
  </si>
  <si>
    <t>Мероприятие 9.</t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</si>
  <si>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 xml:space="preserve"> Организация и проведение муниципальных  мероприятий, всего, из них:</t>
    </r>
  </si>
  <si>
    <r>
      <rPr>
        <b/>
        <sz val="12"/>
        <color indexed="8"/>
        <rFont val="Times New Roman"/>
        <family val="1"/>
      </rPr>
      <t xml:space="preserve">Мероприятие 3 </t>
    </r>
    <r>
      <rPr>
        <sz val="12"/>
        <color indexed="8"/>
        <rFont val="Times New Roman"/>
        <family val="1"/>
      </rPr>
      <t>Обеспечение мероприятий по энергосбережению, всего, из них</t>
    </r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</si>
  <si>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>. Организация отдыха и оздоровления детей и подростков, всего, из них:</t>
    </r>
  </si>
  <si>
    <r>
      <rPr>
        <b/>
        <sz val="12"/>
        <color indexed="8"/>
        <rFont val="Times New Roman"/>
        <family val="1"/>
      </rPr>
      <t>Мероприятие 6.</t>
    </r>
    <r>
      <rPr>
        <sz val="12"/>
        <color indexed="8"/>
        <rFont val="Times New Roman"/>
        <family val="1"/>
      </rPr>
      <t xml:space="preserve"> Организация и проведение  государственной итоговой аттестации  , всего, из них:</t>
    </r>
  </si>
  <si>
    <r>
      <rPr>
        <b/>
        <sz val="12"/>
        <color indexed="8"/>
        <rFont val="Times New Roman"/>
        <family val="1"/>
      </rPr>
      <t>Мероприятие 3.</t>
    </r>
    <r>
      <rPr>
        <sz val="12"/>
        <color indexed="8"/>
        <rFont val="Times New Roman"/>
        <family val="1"/>
      </rPr>
      <t xml:space="preserve"> Организация оздоровления допризывной молодежи</t>
    </r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</si>
  <si>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Организация и проведение муниципальных мероприятий, участие в областных, общероссийских  мероприятиях, всего, из них:</t>
    </r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</si>
  <si>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Обеспечение деятельности учреждения, обеспечивающего  управление в сфере образования, всего, из них</t>
    </r>
  </si>
  <si>
    <t>Мероприятие 8.1.</t>
  </si>
  <si>
    <t>Мероприятие 8.2.</t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</si>
  <si>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Обеспечение мероприятий по укреплению и развитию материально-технической базы для организаций,занимающихся патриотическим воспитанием, всего, из них:</t>
    </r>
  </si>
  <si>
    <t>ВСЕГО ПО МУНИЦИПАЛЬНОЙ ПРОГРАММЕ, В ТОМ ЧИСЛЕ</t>
  </si>
  <si>
    <r>
      <rPr>
        <b/>
        <sz val="12"/>
        <rFont val="Times New Roman"/>
        <family val="1"/>
      </rPr>
      <t xml:space="preserve">Мероприятие 4.1 </t>
    </r>
    <r>
      <rPr>
        <sz val="12"/>
        <rFont val="Times New Roman"/>
        <family val="1"/>
      </rPr>
      <t xml:space="preserve"> Капитальный ремонт,приведение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лагерей, всего, из них: </t>
    </r>
  </si>
  <si>
    <r>
      <rPr>
        <b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Капитальный ремонт зданий, помещений и сооружений муниципальных загородных оздоровительных лагерей, всего, из них: </t>
    </r>
  </si>
  <si>
    <t>федеральный бюджет</t>
  </si>
  <si>
    <t>Мероприятие 11.</t>
  </si>
  <si>
    <r>
      <rPr>
        <b/>
        <sz val="12"/>
        <rFont val="Times New Roman"/>
        <family val="1"/>
      </rPr>
      <t>Мероприятие 4.3</t>
    </r>
    <r>
      <rPr>
        <sz val="12"/>
        <rFont val="Times New Roman"/>
        <family val="1"/>
      </rPr>
      <t xml:space="preserve"> Устройство спортивной площадки в загородном оздоровительном лагере, всего, из них: </t>
    </r>
  </si>
  <si>
    <r>
      <t>Создание в дошкольных образовательных организациях условий для получения детьми-инвалидами качественного образования,</t>
    </r>
    <r>
      <rPr>
        <sz val="12"/>
        <color indexed="8"/>
        <rFont val="Times New Roman"/>
        <family val="1"/>
      </rPr>
      <t xml:space="preserve">   всего, из них</t>
    </r>
  </si>
  <si>
    <t>Мероприятие 6.</t>
  </si>
  <si>
    <r>
      <t>Создание в организациях  дополнительного образования детей условий для детей-инвалидов,</t>
    </r>
    <r>
      <rPr>
        <sz val="12"/>
        <color indexed="8"/>
        <rFont val="Times New Roman"/>
        <family val="1"/>
      </rPr>
      <t xml:space="preserve">   всего, из них</t>
    </r>
  </si>
  <si>
    <t>Мероприятие 12.</t>
  </si>
  <si>
    <t>оборудование спортивных площадок в муниципальных общеобразовательных организациях:  всего, в том числе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</si>
  <si>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Укрепление материально-технической базы с целью защищенности объектов образования от терроризма и экстремизма , всего, из них</t>
    </r>
  </si>
  <si>
    <r>
      <t xml:space="preserve"> Мероприяти 13. С</t>
    </r>
    <r>
      <rPr>
        <sz val="12"/>
        <rFont val="Times New Roman"/>
        <family val="1"/>
      </rPr>
      <t>оздание условий для реализации потенциала талантливой молодежи, организания мероприятий на выявление молодых талантов (организация и проведение Олимпиад, конкурсов)</t>
    </r>
  </si>
  <si>
    <r>
      <rPr>
        <b/>
        <sz val="12"/>
        <rFont val="Times New Roman"/>
        <family val="1"/>
      </rPr>
      <t>Мероприятие 3</t>
    </r>
    <r>
      <rPr>
        <sz val="12"/>
        <rFont val="Times New Roman"/>
        <family val="1"/>
      </rPr>
      <t>. Создание современной инфраструктуры неформального образования для формирования у обучающихся социальных компетенций, гражданских установок, культуры здорового образа жизни</t>
    </r>
  </si>
  <si>
    <t>оснащение спортивных площадок специализированным оборудованием для занятий уличной гимнастикой:  всего, в том числе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</si>
  <si>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Создание условий и организация мероприятий по профилактике распространения ВИЧ-инфекции, всего, из них</t>
    </r>
  </si>
  <si>
    <r>
      <rPr>
        <b/>
        <sz val="12"/>
        <color indexed="8"/>
        <rFont val="Times New Roman"/>
        <family val="1"/>
      </rPr>
      <t>Мероприятие 5.</t>
    </r>
    <r>
      <rPr>
        <sz val="12"/>
        <color indexed="8"/>
        <rFont val="Times New Roman"/>
        <family val="1"/>
      </rPr>
      <t xml:space="preserve"> Временное трудоустройство несовершеннолетних граждан в возрасте от 14 до 18 лет в свободное от учебы время, всего, из них: </t>
    </r>
  </si>
  <si>
    <t>Мероприятие 7.</t>
  </si>
  <si>
    <t>Подпрограмма 10 «Формирование законопослушного поведения участников дорожного движения в городском округе Верхотурский "</t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</si>
  <si>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Проведение соревнований, игр, конкурсов творческих работ среди детей по безопасности дорожного движения , всего, из них</t>
    </r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</si>
  <si>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>Тиражирование и распространение информационных и методических материалов для взрослой и детской аудиторий, информирующих о безопасности дорожного движения , всего, из них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</si>
  <si>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Организация,проведение и участие в  муниципальных и областных  мероприятиях в сфере образования, всего, из них:</t>
    </r>
  </si>
  <si>
    <r>
      <rPr>
        <b/>
        <sz val="12"/>
        <rFont val="Times New Roman"/>
        <family val="1"/>
      </rPr>
      <t>Мероприятие 4.</t>
    </r>
    <r>
      <rPr>
        <sz val="12"/>
        <rFont val="Times New Roman"/>
        <family val="1"/>
      </rPr>
      <t xml:space="preserve"> Обеспечение мероприятий по укреплению и развитию материально-технической базы  муниципальных загородных оздоровительных лагерей, всего, из них: </t>
    </r>
  </si>
  <si>
    <t>Мероприятие 15.</t>
  </si>
  <si>
    <t>Мероприятие 16.</t>
  </si>
  <si>
    <r>
      <t xml:space="preserve">Создание условий для инклюзивного обучения детей-инвалидов </t>
    </r>
    <r>
      <rPr>
        <sz val="12"/>
        <color indexed="8"/>
        <rFont val="Times New Roman"/>
        <family val="1"/>
      </rPr>
      <t>,</t>
    </r>
    <r>
      <rPr>
        <sz val="12"/>
        <color indexed="8"/>
        <rFont val="Times New Roman"/>
        <family val="1"/>
      </rPr>
      <t xml:space="preserve">   всего, из них</t>
    </r>
  </si>
  <si>
    <r>
      <rPr>
        <b/>
        <sz val="12"/>
        <rFont val="Times New Roman"/>
        <family val="1"/>
      </rPr>
      <t xml:space="preserve"> Мероприяти 14. </t>
    </r>
    <r>
      <rPr>
        <sz val="12"/>
        <rFont val="Times New Roman"/>
        <family val="1"/>
      </rPr>
      <t xml:space="preserve">Осуществление мероприятий направленные на устранение нарушений, выявленных органами государственного надзора в результате проверок в муниципальных общеобразовательных организациях, </t>
    </r>
  </si>
  <si>
    <t>Подпрограмма 8 «Профилактика экстремизма и терроризма в городском округе Верхотурский до 2025 года»</t>
  </si>
  <si>
    <t>Подпрограмма 7 «О дополнительных мерах по ограничению распространения ВИЧ-инфекции до 2025 года»</t>
  </si>
  <si>
    <r>
      <t xml:space="preserve">                                    </t>
    </r>
    <r>
      <rPr>
        <sz val="12"/>
        <color indexed="8"/>
        <rFont val="Times New Roman"/>
        <family val="1"/>
      </rPr>
      <t>Подпрограмма  4 «Развитие системы оздоровления и отдыха детей и подростков в городском округе Верхотурском округе до 2025 года»</t>
    </r>
  </si>
  <si>
    <t>Подпрограмма 3 «Развитие системы дополнительного образования  в городском округе Верхотурский до 2025 года»</t>
  </si>
  <si>
    <t>Подпрограмма 2 «Развитие системы общего образования в городском округе Верхотурский до 2025 года»</t>
  </si>
  <si>
    <t>Подпрограмма 1 «Развитие системы дошкольного образования  в городском округе Верхотурский до 2025 года»</t>
  </si>
  <si>
    <r>
      <t xml:space="preserve">Создание в общеобразовательных организациях, расположенных в сельской местности, условий для занятия физической культурой и спортом из них на:                    </t>
    </r>
    <r>
      <rPr>
        <i/>
        <sz val="12"/>
        <color indexed="8"/>
        <rFont val="Times New Roman"/>
        <family val="1"/>
      </rPr>
      <t xml:space="preserve"> </t>
    </r>
  </si>
  <si>
    <t>Внедрение механизмов инициативного бюджетирования на территории Свердловской области, всего, из них</t>
  </si>
  <si>
    <t>Подпрограмма 5 «Патриотическое воспитание подрастающего поколения  в городском округе Верхотурский до 2025 года »</t>
  </si>
  <si>
    <t>Подпрограмма 9 «Развитие научно-технического творчества талантливой молодежи через научно-исследовательскую деятельность обучающихся и воспитанников "</t>
  </si>
  <si>
    <t>1.1.3.</t>
  </si>
  <si>
    <t>1.2.1.</t>
  </si>
  <si>
    <t>1.3.1.,1.3.2.</t>
  </si>
  <si>
    <t>1.4.1.</t>
  </si>
  <si>
    <t>2.2.1.</t>
  </si>
  <si>
    <t>2.5.1.</t>
  </si>
  <si>
    <t>2.1.1., 2.1.2.</t>
  </si>
  <si>
    <t>2.7.1.</t>
  </si>
  <si>
    <t>2.4.1.</t>
  </si>
  <si>
    <t>2.3.1.</t>
  </si>
  <si>
    <t>2.9.3.</t>
  </si>
  <si>
    <t>2.10.1.</t>
  </si>
  <si>
    <t>2.1.3.,2.1.4., 2.8.1.</t>
  </si>
  <si>
    <t>3.3.1.</t>
  </si>
  <si>
    <t>3.3.2.</t>
  </si>
  <si>
    <t>3.5.1.</t>
  </si>
  <si>
    <t>3.1.1., 3.2.1.</t>
  </si>
  <si>
    <t>4.1.1.</t>
  </si>
  <si>
    <t>4.2.1.</t>
  </si>
  <si>
    <t>4.3.1.</t>
  </si>
  <si>
    <t>5.1.1., 5.3.1.,5.3.2.</t>
  </si>
  <si>
    <t>5.2.1.</t>
  </si>
  <si>
    <t>5.4.1.</t>
  </si>
  <si>
    <t>6.1.1., 6.1.2.</t>
  </si>
  <si>
    <t>6.1.3., 6.1.4.</t>
  </si>
  <si>
    <t>6.2.1.</t>
  </si>
  <si>
    <t>7.1.1., 7.2.1., 8.1.1.</t>
  </si>
  <si>
    <t>8.1.1., 8.1.2.</t>
  </si>
  <si>
    <t>9.1.1., 9.2.1., 9.3.1., 9.4.1.</t>
  </si>
  <si>
    <t>Содержание имущества, находящегося в муниципальной собственности, загородного лагеря, всего, из них:</t>
  </si>
  <si>
    <t>План мероприятий по выполнению муниципальной программы городского округа Верхотурский "Развитие образования городского округа Верхотурский до 2025 года"</t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</si>
  <si>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>. Организация предоставления дошкольного образования, создание условий для присмотра и ухода за детьми, содержания детей в муниципальных дошкольных образовательных организациях, всего, из них:</t>
    </r>
  </si>
  <si>
    <t>Повышение квалификации работников муниципальных дошкольных образовательных организаций, всего, из них:</t>
  </si>
  <si>
    <t>Обеспечение мероприятий по укреплению и развитию материально-технической базы муниципальных дошкольных образовательных организаций ,всего, из них</t>
  </si>
  <si>
    <t>Развитие сети муниципальных дошкольных образовательных организаций (строительство, реконструкция зданий, создание дополнительных мест), всего, из них:</t>
  </si>
  <si>
    <r>
      <rPr>
        <b/>
        <sz val="12"/>
        <color indexed="8"/>
        <rFont val="Times New Roman"/>
        <family val="1"/>
      </rPr>
      <t xml:space="preserve">Мероприятие7 </t>
    </r>
    <r>
      <rPr>
        <sz val="12"/>
        <color indexed="8"/>
        <rFont val="Times New Roman"/>
        <family val="1"/>
      </rPr>
      <t>Обеспечение мероприятий по энергосбережению в муниципальных дошкольных образовательных организациях, всего, из них</t>
    </r>
  </si>
  <si>
    <r>
      <rPr>
        <b/>
        <sz val="12"/>
        <color indexed="8"/>
        <rFont val="Times New Roman"/>
        <family val="1"/>
      </rPr>
      <t>Мероприятие 1.</t>
    </r>
    <r>
      <rPr>
        <sz val="12"/>
        <color indexed="8"/>
        <rFont val="Times New Roman"/>
        <family val="1"/>
      </rPr>
      <t xml:space="preserve"> Обеспечение государственных  гарантий реализации  прав на получение общедоступного и бесплатного дошкольного  образования в муниципальных дошкольныхобразовательных организациях,в части финансирования расходов на оплату труда работников  ДОУвсего, из них: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</si>
  <si>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Обеспечение государственных  гарантий реализации прав на получение  общедоступного и бесплатного дошкольного  образования в муниципальных дошкольных образовательных организациях, в части финансирования расходов на приобретение учебников и учебных пособий, средств обучения, игр, игрушек в муниципальных ДОУ, всего, из них:</t>
    </r>
  </si>
  <si>
    <r>
      <rPr>
        <b/>
        <sz val="12"/>
        <color indexed="8"/>
        <rFont val="Times New Roman"/>
        <family val="1"/>
      </rPr>
      <t>Мероприятие 2.</t>
    </r>
    <r>
      <rPr>
        <sz val="12"/>
        <color indexed="8"/>
        <rFont val="Times New Roman"/>
        <family val="1"/>
      </rPr>
      <t xml:space="preserve"> Обеспечение государственных 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организациях, в части финансирования расходов на приобретение учебников и учебных пособий, средств обучения, игр, игрушек в муниципальных общеобразовательных организациях, всего, из них:</t>
    </r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</si>
  <si>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>. Организация предоставления общего образования и создание условий для содержания детей в муниципальных общеобразовательных организациях, всего, из них:</t>
    </r>
  </si>
  <si>
    <r>
      <rPr>
        <b/>
        <sz val="12"/>
        <color indexed="8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>. Обеспечение мероприятий по организации подвоза  обучающихся в муниципальные общеобразовательные организации, в том числе приобретение и (или) замена автобусов, оснащение аппаратурой спутниковой навигации ГЛОНАСС, тахографами используемого парка автобусов , всего, из них:</t>
    </r>
  </si>
  <si>
    <r>
      <rPr>
        <b/>
        <sz val="12"/>
        <color indexed="8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>.</t>
    </r>
    <r>
      <rPr>
        <b/>
        <sz val="12"/>
        <color indexed="8"/>
        <rFont val="Times New Roman"/>
        <family val="1"/>
      </rPr>
      <t>1.</t>
    </r>
    <r>
      <rPr>
        <sz val="12"/>
        <color indexed="8"/>
        <rFont val="Times New Roman"/>
        <family val="1"/>
      </rPr>
      <t xml:space="preserve"> Обеспечение мероприятий по организации подвоза  обучающихся в муниципальные общеобразовательные организации , всего, из них:</t>
    </r>
  </si>
  <si>
    <r>
      <rPr>
        <b/>
        <sz val="12"/>
        <color indexed="8"/>
        <rFont val="Times New Roman"/>
        <family val="1"/>
      </rPr>
      <t>Мероприятие 5.2</t>
    </r>
    <r>
      <rPr>
        <sz val="12"/>
        <color indexed="8"/>
        <rFont val="Times New Roman"/>
        <family val="1"/>
      </rPr>
      <t>. приобретение и (или) замена автобусов для подвоза обучающихся в муниципальные общеобразовательные организации, оснащение аппаратурой спутниковой навигации ГЛОНАСС, тахографами используемого парка автобусов , всего, из них:</t>
    </r>
  </si>
  <si>
    <t>Повышение квалификации работников муниципальных общеобразовательных организациях, всего, из них:</t>
  </si>
  <si>
    <t>Обеспечение мероприятий по укреплению и развитию материально-технической базы  муниципальных общеобразовательных организаций ,всего, из них</t>
  </si>
  <si>
    <t>Капитальный ремонт,приведение в соответствие с требованиями пожарной безопасности и санитарного законодательства зданий и помещений, в которых размещаются  муниципальные общеобразовательные организации ,всего, из них</t>
  </si>
  <si>
    <t>Развитие сети муниципальных общеобразовательных организаций (строительство, реконструкция зданий), всего, из них:</t>
  </si>
  <si>
    <r>
      <rPr>
        <b/>
        <sz val="12"/>
        <color indexed="8"/>
        <rFont val="Times New Roman"/>
        <family val="1"/>
      </rPr>
      <t>Мероприятие 10</t>
    </r>
    <r>
      <rPr>
        <sz val="12"/>
        <color indexed="8"/>
        <rFont val="Times New Roman"/>
        <family val="1"/>
      </rPr>
      <t xml:space="preserve"> Обеспечение мероприятий по энергосбережению в муниципальных общеобразовательных организациях, всего, из них</t>
    </r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</si>
  <si>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>. Организация предоставления дополнительного образования детей в  муниципальных организациях дополнительного образования, всего, из них:</t>
    </r>
  </si>
  <si>
    <t>Повышение квалификации работников муниципальных  организаций дополнительного образования, всего, из них:</t>
  </si>
  <si>
    <t>Обеспечение мероприятий по укреплению и развитию материально-технической базы муниципальных  организаций дополнительного образования ,всего, из них</t>
  </si>
  <si>
    <r>
      <rPr>
        <b/>
        <sz val="12"/>
        <color indexed="8"/>
        <rFont val="Times New Roman"/>
        <family val="1"/>
      </rPr>
      <t>Мероприятие 5</t>
    </r>
    <r>
      <rPr>
        <sz val="12"/>
        <color indexed="8"/>
        <rFont val="Times New Roman"/>
        <family val="1"/>
      </rPr>
      <t xml:space="preserve"> Обеспечение мероприятий по энергосбережению в муниципальных организациях дополнительного образования, всего, из них</t>
    </r>
  </si>
  <si>
    <t>Обеспечение мероприятий по организации подвоза учащихся на муниципальные, межмуниципальные и областные мероприятия в муниципальных организациях дополнительного образования</t>
  </si>
  <si>
    <r>
      <rPr>
        <b/>
        <sz val="12"/>
        <color indexed="8"/>
        <rFont val="Times New Roman"/>
        <family val="1"/>
      </rPr>
      <t>Мероприятие 6.</t>
    </r>
    <r>
      <rPr>
        <sz val="12"/>
        <color indexed="8"/>
        <rFont val="Times New Roman"/>
        <family val="1"/>
      </rPr>
      <t xml:space="preserve"> Осуществление государственных полномочий Свердловской области по организации и обеспечение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здоровья, всего, из них: </t>
    </r>
  </si>
  <si>
    <r>
      <rPr>
        <b/>
        <sz val="12"/>
        <rFont val="Times New Roman"/>
        <family val="1"/>
      </rPr>
      <t>Мероприятие 3</t>
    </r>
    <r>
      <rPr>
        <sz val="12"/>
        <rFont val="Times New Roman"/>
        <family val="1"/>
      </rPr>
      <t xml:space="preserve"> Обеспечение мероприятий по проведению независимой оценки качества образования муниципальных общеобразовательных организаций"</t>
    </r>
  </si>
  <si>
    <r>
      <rPr>
        <b/>
        <sz val="12"/>
        <color indexed="8"/>
        <rFont val="Times New Roman"/>
        <family val="1"/>
      </rPr>
      <t>Мероприятие 1</t>
    </r>
    <r>
      <rPr>
        <sz val="12"/>
        <color indexed="8"/>
        <rFont val="Times New Roman"/>
        <family val="1"/>
      </rPr>
      <t xml:space="preserve"> Обеспечение мероприятий по укреплению материально-технической базы организаций для оснащения кабинетов естественно-научного цикла, учебно-производственного оборудования для проведения профориентационной работы, специального современного технологического оборудования, программного обеспечения, необходимого для функционирования оборудования, и расходных материалов для 3D-моделирования , всего, из них</t>
    </r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</si>
  <si>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</si>
  <si>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Ежемесячное денежное вознаграждение за классное руководство педагогическим работникам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</si>
  <si>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</si>
  <si>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r>
      <rPr>
        <b/>
        <sz val="12"/>
        <color indexed="8"/>
        <rFont val="Times New Roman"/>
        <family val="1"/>
      </rPr>
      <t>Мероприятие 1.1</t>
    </r>
    <r>
      <rPr>
        <sz val="12"/>
        <color indexed="8"/>
        <rFont val="Times New Roman"/>
        <family val="1"/>
      </rPr>
      <t xml:space="preserve"> Обеспечение государственных 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 в муниципальных общеобразовательных организациях, в части финансирования расходов на оплату труда работников муниципальных общеобразовательных организаций, всего, из них:</t>
    </r>
  </si>
  <si>
    <t>Мероприятие 1.2</t>
  </si>
  <si>
    <r>
      <rPr>
        <b/>
        <sz val="12"/>
        <color indexed="8"/>
        <rFont val="Times New Roman"/>
        <family val="1"/>
      </rPr>
      <t>Мероприятие 4.1</t>
    </r>
    <r>
      <rPr>
        <sz val="12"/>
        <color indexed="8"/>
        <rFont val="Times New Roman"/>
        <family val="1"/>
      </rPr>
      <t xml:space="preserve"> Осуществление мероприятий по организации питания в муниципальных общеобразовательных организациях, всего, из них:</t>
    </r>
  </si>
  <si>
    <t xml:space="preserve">Мероприятие 4.2 </t>
  </si>
  <si>
    <t>Мероприятие 9</t>
  </si>
  <si>
    <t>Подпрограмма 6 «Обеспечение реализации муниципальной программы городского округа Верхотурский «Развитие  образования</t>
  </si>
  <si>
    <t xml:space="preserve"> городского округа Верхотурский до 2025 года»</t>
  </si>
  <si>
    <t>Мероприятие 17.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</si>
  <si>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</t>
  </si>
  <si>
    <t>Мероприятие 18.</t>
  </si>
  <si>
    <t>Создание в муниципальных общеобразовательных организациях условий для организации горячего питания обучающихся</t>
  </si>
  <si>
    <t>Мероприятие 19.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</si>
  <si>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</si>
  <si>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код федерального проекта</t>
  </si>
  <si>
    <t>Наименование мероприятия,источники ресурсного обеспечения</t>
  </si>
  <si>
    <t>Номер целевых показателей,  на достижение которых направлены мероприятия</t>
  </si>
  <si>
    <t>В том числе на реализацию муниципального компонента региональной составляющей национального проекта "Образование"</t>
  </si>
  <si>
    <t>Всего по мероприятиям, не входящим в состав муниципальных компонентов региональных составляющих национальных проектов в т.ч.</t>
  </si>
  <si>
    <t>1.1.1.-1.1.2., 1.2.1.</t>
  </si>
  <si>
    <t>1.3.1.</t>
  </si>
  <si>
    <t>1.5.1.</t>
  </si>
  <si>
    <t>1.3.1.; 1.4.1</t>
  </si>
  <si>
    <t>2.6.2.</t>
  </si>
  <si>
    <t>2.6.3.</t>
  </si>
  <si>
    <t>2.8.1.</t>
  </si>
  <si>
    <t>2.7.1.,2.7.2.</t>
  </si>
  <si>
    <t>2.6.1., 2.9.3.</t>
  </si>
  <si>
    <t>2.9.4.</t>
  </si>
  <si>
    <t>2.1.2., 2.11.1.</t>
  </si>
  <si>
    <t>2.9.1.,</t>
  </si>
  <si>
    <t>2.6.2.,2.6.3.</t>
  </si>
  <si>
    <t>2.9.5.</t>
  </si>
  <si>
    <t>3.4.2.</t>
  </si>
  <si>
    <t>3.6.1., 3.6.2.</t>
  </si>
  <si>
    <t>4.1.2.</t>
  </si>
  <si>
    <t>Ремонт зданий и помещений муниципальных общеобразовательных организаций  всего, из них</t>
  </si>
  <si>
    <t xml:space="preserve"> проведение ремонта спортивных залов:  всего, в том числе</t>
  </si>
  <si>
    <t>Мероприятие 20.</t>
  </si>
  <si>
    <t>Обеспечение условий реализации муниципальными общеобразовательными организациями образовательных программ естественно научного цикла и профориентационной работы</t>
  </si>
  <si>
    <t>х</t>
  </si>
  <si>
    <t>2.2.1</t>
  </si>
  <si>
    <t>Мероприятие 21.</t>
  </si>
  <si>
    <t>Реализация мероприятий по модернизации школьных систем образования</t>
  </si>
  <si>
    <t>Мероприятие 22.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</si>
  <si>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</si>
  <si>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2.3.3</t>
  </si>
  <si>
    <t xml:space="preserve">Обновление материально-технической базы для формирования у обучающихся современных технологических и гуманитарных навыков </t>
  </si>
  <si>
    <r>
      <rPr>
        <b/>
        <sz val="12"/>
        <color indexed="8"/>
        <rFont val="Times New Roman"/>
        <family val="1"/>
      </rPr>
      <t>Мероприятие 8</t>
    </r>
    <r>
      <rPr>
        <sz val="12"/>
        <color indexed="8"/>
        <rFont val="Times New Roman"/>
        <family val="1"/>
      </rPr>
      <t>. Обеспечение функционирования системы персонифицированного финансирования дополнительного образования детей, всего, из них:</t>
    </r>
  </si>
  <si>
    <t>Приложение № 3</t>
  </si>
  <si>
    <t>к постановлению Администрации</t>
  </si>
  <si>
    <t>городского округа Верхотурский</t>
  </si>
  <si>
    <t>от 15.12.2022г. № 1011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</si>
</sst>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53" fillId="0" borderId="0" xfId="0" applyFont="1" applyAlignment="1">
      <alignment horizontal="justify" vertic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4" fillId="0" borderId="0" xfId="0" applyFont="1" applyAlignment="1">
      <alignment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4" xfId="0" applyFont="1" applyBorder="1" applyAlignment="1">
      <alignment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4" xfId="0" applyFont="1" applyBorder="1" applyAlignment="1">
      <alignment vertical="center"/>
    </xf>
    <xf numFmtId="0" fontId="56" fillId="0" borderId="11" xfId="0" applyFont="1" applyBorder="1" applyAlignment="1">
      <alignment horizontal="center" vertical="center"/>
    </xf>
    <xf numFmtId="0" fontId="57" fillId="0" borderId="15" xfId="0" applyFont="1" applyBorder="1" applyAlignment="1">
      <alignment vertical="center" wrapText="1"/>
    </xf>
    <xf numFmtId="2" fontId="55" fillId="0" borderId="14" xfId="0" applyNumberFormat="1" applyFont="1" applyBorder="1" applyAlignment="1">
      <alignment horizontal="center" vertical="center"/>
    </xf>
    <xf numFmtId="2" fontId="55" fillId="0" borderId="14" xfId="0" applyNumberFormat="1" applyFont="1" applyBorder="1" applyAlignment="1">
      <alignment horizontal="center" vertical="center" wrapText="1"/>
    </xf>
    <xf numFmtId="2" fontId="55" fillId="0" borderId="14" xfId="0" applyNumberFormat="1" applyFont="1" applyBorder="1" applyAlignment="1">
      <alignment vertical="center" wrapText="1"/>
    </xf>
    <xf numFmtId="0" fontId="57" fillId="0" borderId="14" xfId="0" applyFont="1" applyBorder="1" applyAlignment="1">
      <alignment vertical="center" wrapText="1"/>
    </xf>
    <xf numFmtId="172" fontId="58" fillId="0" borderId="14" xfId="0" applyNumberFormat="1" applyFont="1" applyBorder="1" applyAlignment="1">
      <alignment horizontal="center" vertical="center"/>
    </xf>
    <xf numFmtId="172" fontId="55" fillId="0" borderId="14" xfId="0" applyNumberFormat="1" applyFont="1" applyBorder="1" applyAlignment="1">
      <alignment horizontal="center" vertical="center"/>
    </xf>
    <xf numFmtId="0" fontId="54" fillId="33" borderId="14" xfId="0" applyFont="1" applyFill="1" applyBorder="1" applyAlignment="1">
      <alignment vertical="center" wrapText="1"/>
    </xf>
    <xf numFmtId="0" fontId="54" fillId="34" borderId="14" xfId="0" applyFont="1" applyFill="1" applyBorder="1" applyAlignment="1">
      <alignment vertical="center" wrapText="1"/>
    </xf>
    <xf numFmtId="173" fontId="55" fillId="0" borderId="14" xfId="0" applyNumberFormat="1" applyFont="1" applyBorder="1" applyAlignment="1">
      <alignment horizontal="center" vertical="center"/>
    </xf>
    <xf numFmtId="173" fontId="58" fillId="0" borderId="14" xfId="0" applyNumberFormat="1" applyFont="1" applyBorder="1" applyAlignment="1">
      <alignment horizontal="center" vertical="center"/>
    </xf>
    <xf numFmtId="2" fontId="55" fillId="34" borderId="14" xfId="0" applyNumberFormat="1" applyFont="1" applyFill="1" applyBorder="1" applyAlignment="1">
      <alignment horizontal="center" vertical="center"/>
    </xf>
    <xf numFmtId="2" fontId="58" fillId="34" borderId="14" xfId="0" applyNumberFormat="1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55" fillId="0" borderId="14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/>
    </xf>
    <xf numFmtId="0" fontId="55" fillId="0" borderId="14" xfId="0" applyFont="1" applyBorder="1" applyAlignment="1">
      <alignment horizontal="center" wrapText="1"/>
    </xf>
    <xf numFmtId="0" fontId="4" fillId="34" borderId="14" xfId="0" applyFont="1" applyFill="1" applyBorder="1" applyAlignment="1">
      <alignment vertical="top" wrapText="1"/>
    </xf>
    <xf numFmtId="0" fontId="55" fillId="34" borderId="14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73" fontId="55" fillId="34" borderId="14" xfId="0" applyNumberFormat="1" applyFont="1" applyFill="1" applyBorder="1" applyAlignment="1">
      <alignment horizontal="center" vertical="center"/>
    </xf>
    <xf numFmtId="172" fontId="55" fillId="34" borderId="14" xfId="0" applyNumberFormat="1" applyFont="1" applyFill="1" applyBorder="1" applyAlignment="1">
      <alignment horizontal="center" vertical="center"/>
    </xf>
    <xf numFmtId="0" fontId="58" fillId="34" borderId="14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vertical="center"/>
    </xf>
    <xf numFmtId="0" fontId="56" fillId="34" borderId="16" xfId="0" applyFont="1" applyFill="1" applyBorder="1" applyAlignment="1">
      <alignment vertical="center"/>
    </xf>
    <xf numFmtId="0" fontId="56" fillId="0" borderId="17" xfId="0" applyFont="1" applyBorder="1" applyAlignment="1">
      <alignment vertical="center"/>
    </xf>
    <xf numFmtId="0" fontId="54" fillId="0" borderId="15" xfId="0" applyFont="1" applyBorder="1" applyAlignment="1">
      <alignment vertical="center" wrapText="1"/>
    </xf>
    <xf numFmtId="172" fontId="55" fillId="0" borderId="15" xfId="0" applyNumberFormat="1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5" fillId="0" borderId="12" xfId="0" applyFont="1" applyBorder="1" applyAlignment="1">
      <alignment horizontal="center" vertical="center" wrapText="1"/>
    </xf>
    <xf numFmtId="0" fontId="54" fillId="34" borderId="16" xfId="0" applyFont="1" applyFill="1" applyBorder="1" applyAlignment="1">
      <alignment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5" fillId="34" borderId="14" xfId="0" applyFont="1" applyFill="1" applyBorder="1" applyAlignment="1">
      <alignment horizontal="center" wrapText="1"/>
    </xf>
    <xf numFmtId="172" fontId="8" fillId="0" borderId="16" xfId="0" applyNumberFormat="1" applyFont="1" applyBorder="1" applyAlignment="1">
      <alignment horizontal="center" vertical="center"/>
    </xf>
    <xf numFmtId="0" fontId="57" fillId="34" borderId="18" xfId="0" applyFont="1" applyFill="1" applyBorder="1" applyAlignment="1">
      <alignment vertical="center" wrapText="1"/>
    </xf>
    <xf numFmtId="0" fontId="54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54" fillId="34" borderId="14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59" fillId="34" borderId="14" xfId="0" applyFont="1" applyFill="1" applyBorder="1" applyAlignment="1">
      <alignment vertical="top" wrapText="1"/>
    </xf>
    <xf numFmtId="0" fontId="5" fillId="34" borderId="19" xfId="0" applyFont="1" applyFill="1" applyBorder="1" applyAlignment="1">
      <alignment vertical="top" wrapText="1"/>
    </xf>
    <xf numFmtId="0" fontId="4" fillId="34" borderId="19" xfId="0" applyFont="1" applyFill="1" applyBorder="1" applyAlignment="1">
      <alignment vertical="top" wrapText="1"/>
    </xf>
    <xf numFmtId="0" fontId="4" fillId="34" borderId="12" xfId="0" applyFont="1" applyFill="1" applyBorder="1" applyAlignment="1">
      <alignment vertical="top" wrapText="1"/>
    </xf>
    <xf numFmtId="0" fontId="4" fillId="34" borderId="16" xfId="0" applyFont="1" applyFill="1" applyBorder="1" applyAlignment="1">
      <alignment vertical="top" wrapText="1"/>
    </xf>
    <xf numFmtId="0" fontId="57" fillId="34" borderId="14" xfId="0" applyFont="1" applyFill="1" applyBorder="1" applyAlignment="1">
      <alignment horizontal="center" vertical="center" wrapText="1"/>
    </xf>
    <xf numFmtId="0" fontId="55" fillId="34" borderId="16" xfId="0" applyFont="1" applyFill="1" applyBorder="1" applyAlignment="1">
      <alignment horizontal="center" vertical="center" wrapText="1"/>
    </xf>
    <xf numFmtId="173" fontId="55" fillId="0" borderId="14" xfId="0" applyNumberFormat="1" applyFont="1" applyBorder="1" applyAlignment="1">
      <alignment horizontal="center" vertical="center" wrapText="1"/>
    </xf>
    <xf numFmtId="173" fontId="55" fillId="34" borderId="14" xfId="0" applyNumberFormat="1" applyFont="1" applyFill="1" applyBorder="1" applyAlignment="1">
      <alignment horizontal="center" vertical="center" wrapText="1"/>
    </xf>
    <xf numFmtId="173" fontId="55" fillId="0" borderId="14" xfId="0" applyNumberFormat="1" applyFont="1" applyBorder="1" applyAlignment="1">
      <alignment vertical="center" wrapText="1"/>
    </xf>
    <xf numFmtId="14" fontId="55" fillId="0" borderId="14" xfId="0" applyNumberFormat="1" applyFont="1" applyBorder="1" applyAlignment="1">
      <alignment horizontal="center" vertical="center"/>
    </xf>
    <xf numFmtId="0" fontId="55" fillId="34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2" fillId="34" borderId="14" xfId="0" applyFont="1" applyFill="1" applyBorder="1" applyAlignment="1">
      <alignment vertical="center" wrapText="1"/>
    </xf>
    <xf numFmtId="172" fontId="55" fillId="0" borderId="12" xfId="0" applyNumberFormat="1" applyFont="1" applyBorder="1" applyAlignment="1">
      <alignment horizontal="center" vertical="center"/>
    </xf>
    <xf numFmtId="172" fontId="58" fillId="34" borderId="14" xfId="0" applyNumberFormat="1" applyFont="1" applyFill="1" applyBorder="1" applyAlignment="1">
      <alignment horizontal="center" vertical="center"/>
    </xf>
    <xf numFmtId="172" fontId="58" fillId="34" borderId="12" xfId="0" applyNumberFormat="1" applyFont="1" applyFill="1" applyBorder="1" applyAlignment="1">
      <alignment horizontal="center" vertical="center"/>
    </xf>
    <xf numFmtId="172" fontId="58" fillId="34" borderId="16" xfId="0" applyNumberFormat="1" applyFont="1" applyFill="1" applyBorder="1" applyAlignment="1">
      <alignment horizontal="center" vertical="center"/>
    </xf>
    <xf numFmtId="172" fontId="55" fillId="34" borderId="16" xfId="0" applyNumberFormat="1" applyFont="1" applyFill="1" applyBorder="1" applyAlignment="1">
      <alignment horizontal="center" vertical="center"/>
    </xf>
    <xf numFmtId="172" fontId="55" fillId="0" borderId="15" xfId="0" applyNumberFormat="1" applyFont="1" applyFill="1" applyBorder="1" applyAlignment="1">
      <alignment horizontal="center" vertical="center"/>
    </xf>
    <xf numFmtId="172" fontId="55" fillId="0" borderId="0" xfId="0" applyNumberFormat="1" applyFont="1" applyFill="1" applyBorder="1" applyAlignment="1">
      <alignment horizontal="center" vertical="center"/>
    </xf>
    <xf numFmtId="16" fontId="0" fillId="0" borderId="0" xfId="0" applyNumberFormat="1" applyAlignment="1">
      <alignment/>
    </xf>
    <xf numFmtId="173" fontId="58" fillId="34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72" fontId="0" fillId="34" borderId="0" xfId="0" applyNumberFormat="1" applyFill="1" applyAlignment="1">
      <alignment/>
    </xf>
    <xf numFmtId="0" fontId="60" fillId="0" borderId="0" xfId="0" applyFont="1" applyAlignment="1">
      <alignment horizontal="left"/>
    </xf>
    <xf numFmtId="0" fontId="56" fillId="34" borderId="11" xfId="0" applyFont="1" applyFill="1" applyBorder="1" applyAlignment="1">
      <alignment vertical="center"/>
    </xf>
    <xf numFmtId="0" fontId="56" fillId="0" borderId="2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7" fillId="0" borderId="2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/>
    </xf>
    <xf numFmtId="0" fontId="56" fillId="34" borderId="11" xfId="0" applyFont="1" applyFill="1" applyBorder="1" applyAlignment="1">
      <alignment vertical="center"/>
    </xf>
    <xf numFmtId="0" fontId="54" fillId="34" borderId="21" xfId="0" applyFont="1" applyFill="1" applyBorder="1" applyAlignment="1">
      <alignment vertical="center" wrapText="1"/>
    </xf>
    <xf numFmtId="172" fontId="58" fillId="34" borderId="13" xfId="0" applyNumberFormat="1" applyFont="1" applyFill="1" applyBorder="1" applyAlignment="1">
      <alignment horizontal="center" vertical="center"/>
    </xf>
    <xf numFmtId="172" fontId="58" fillId="34" borderId="22" xfId="0" applyNumberFormat="1" applyFont="1" applyFill="1" applyBorder="1" applyAlignment="1">
      <alignment horizontal="center" vertical="center"/>
    </xf>
    <xf numFmtId="0" fontId="56" fillId="0" borderId="11" xfId="0" applyFont="1" applyBorder="1" applyAlignment="1">
      <alignment vertical="center"/>
    </xf>
    <xf numFmtId="0" fontId="54" fillId="0" borderId="17" xfId="0" applyFont="1" applyBorder="1" applyAlignment="1">
      <alignment horizontal="center" vertical="center" wrapText="1"/>
    </xf>
    <xf numFmtId="2" fontId="55" fillId="0" borderId="15" xfId="0" applyNumberFormat="1" applyFont="1" applyBorder="1" applyAlignment="1">
      <alignment horizontal="center" vertical="center" wrapText="1"/>
    </xf>
    <xf numFmtId="2" fontId="55" fillId="0" borderId="15" xfId="0" applyNumberFormat="1" applyFont="1" applyBorder="1" applyAlignment="1">
      <alignment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9" fillId="0" borderId="14" xfId="0" applyFont="1" applyBorder="1" applyAlignment="1">
      <alignment vertical="center" wrapText="1"/>
    </xf>
    <xf numFmtId="0" fontId="59" fillId="0" borderId="16" xfId="0" applyFont="1" applyBorder="1" applyAlignment="1">
      <alignment vertical="center" wrapText="1"/>
    </xf>
    <xf numFmtId="172" fontId="61" fillId="0" borderId="14" xfId="0" applyNumberFormat="1" applyFont="1" applyBorder="1" applyAlignment="1">
      <alignment horizontal="center" vertical="center"/>
    </xf>
    <xf numFmtId="172" fontId="62" fillId="0" borderId="14" xfId="0" applyNumberFormat="1" applyFont="1" applyBorder="1" applyAlignment="1">
      <alignment horizontal="center" vertical="center"/>
    </xf>
    <xf numFmtId="172" fontId="62" fillId="34" borderId="14" xfId="0" applyNumberFormat="1" applyFont="1" applyFill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 wrapText="1"/>
    </xf>
    <xf numFmtId="173" fontId="62" fillId="0" borderId="14" xfId="0" applyNumberFormat="1" applyFont="1" applyBorder="1" applyAlignment="1">
      <alignment horizontal="center" vertical="center" wrapText="1"/>
    </xf>
    <xf numFmtId="173" fontId="62" fillId="0" borderId="14" xfId="0" applyNumberFormat="1" applyFont="1" applyBorder="1" applyAlignment="1">
      <alignment vertical="center" wrapText="1"/>
    </xf>
    <xf numFmtId="0" fontId="59" fillId="34" borderId="14" xfId="0" applyFont="1" applyFill="1" applyBorder="1" applyAlignment="1">
      <alignment vertical="center" wrapText="1"/>
    </xf>
    <xf numFmtId="0" fontId="56" fillId="34" borderId="11" xfId="0" applyFont="1" applyFill="1" applyBorder="1" applyAlignment="1">
      <alignment vertical="center"/>
    </xf>
    <xf numFmtId="0" fontId="54" fillId="33" borderId="14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vertical="center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0" fontId="57" fillId="34" borderId="15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top" wrapText="1"/>
    </xf>
    <xf numFmtId="0" fontId="59" fillId="34" borderId="14" xfId="0" applyFont="1" applyFill="1" applyBorder="1" applyAlignment="1">
      <alignment horizontal="center" vertical="top" wrapText="1"/>
    </xf>
    <xf numFmtId="0" fontId="54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top" wrapText="1"/>
    </xf>
    <xf numFmtId="0" fontId="54" fillId="34" borderId="16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56" fillId="34" borderId="11" xfId="0" applyFont="1" applyFill="1" applyBorder="1" applyAlignment="1">
      <alignment vertical="center"/>
    </xf>
    <xf numFmtId="0" fontId="56" fillId="0" borderId="11" xfId="0" applyFont="1" applyBorder="1" applyAlignment="1">
      <alignment vertical="center"/>
    </xf>
    <xf numFmtId="172" fontId="58" fillId="34" borderId="20" xfId="0" applyNumberFormat="1" applyFont="1" applyFill="1" applyBorder="1" applyAlignment="1">
      <alignment horizontal="center" vertical="center"/>
    </xf>
    <xf numFmtId="172" fontId="58" fillId="34" borderId="11" xfId="0" applyNumberFormat="1" applyFont="1" applyFill="1" applyBorder="1" applyAlignment="1">
      <alignment horizontal="center" vertical="center"/>
    </xf>
    <xf numFmtId="49" fontId="55" fillId="34" borderId="20" xfId="0" applyNumberFormat="1" applyFont="1" applyFill="1" applyBorder="1" applyAlignment="1">
      <alignment horizontal="center" vertical="center" wrapText="1"/>
    </xf>
    <xf numFmtId="49" fontId="55" fillId="34" borderId="11" xfId="0" applyNumberFormat="1" applyFont="1" applyFill="1" applyBorder="1" applyAlignment="1">
      <alignment horizontal="center" vertical="center" wrapText="1"/>
    </xf>
    <xf numFmtId="0" fontId="56" fillId="34" borderId="20" xfId="0" applyFont="1" applyFill="1" applyBorder="1" applyAlignment="1">
      <alignment vertical="center"/>
    </xf>
    <xf numFmtId="0" fontId="56" fillId="34" borderId="11" xfId="0" applyFont="1" applyFill="1" applyBorder="1" applyAlignment="1">
      <alignment vertical="center"/>
    </xf>
    <xf numFmtId="0" fontId="55" fillId="34" borderId="20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6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0" fillId="0" borderId="0" xfId="0" applyFont="1" applyAlignment="1">
      <alignment wrapText="1"/>
    </xf>
    <xf numFmtId="0" fontId="6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172" fontId="58" fillId="0" borderId="20" xfId="0" applyNumberFormat="1" applyFont="1" applyBorder="1" applyAlignment="1">
      <alignment horizontal="center" vertical="center"/>
    </xf>
    <xf numFmtId="172" fontId="58" fillId="0" borderId="11" xfId="0" applyNumberFormat="1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6" fillId="0" borderId="2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5" fillId="34" borderId="20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0" fontId="57" fillId="33" borderId="26" xfId="0" applyFont="1" applyFill="1" applyBorder="1" applyAlignment="1">
      <alignment horizontal="center" vertical="center" wrapText="1"/>
    </xf>
    <xf numFmtId="0" fontId="57" fillId="33" borderId="27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173" fontId="58" fillId="0" borderId="20" xfId="0" applyNumberFormat="1" applyFont="1" applyBorder="1" applyAlignment="1">
      <alignment horizontal="center" vertical="center"/>
    </xf>
    <xf numFmtId="173" fontId="58" fillId="0" borderId="11" xfId="0" applyNumberFormat="1" applyFont="1" applyBorder="1" applyAlignment="1">
      <alignment horizontal="center" vertical="center"/>
    </xf>
    <xf numFmtId="2" fontId="58" fillId="34" borderId="20" xfId="0" applyNumberFormat="1" applyFont="1" applyFill="1" applyBorder="1" applyAlignment="1">
      <alignment horizontal="center" vertical="center"/>
    </xf>
    <xf numFmtId="2" fontId="58" fillId="34" borderId="11" xfId="0" applyNumberFormat="1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172" fontId="55" fillId="0" borderId="20" xfId="0" applyNumberFormat="1" applyFont="1" applyBorder="1" applyAlignment="1">
      <alignment horizontal="center" vertical="center"/>
    </xf>
    <xf numFmtId="172" fontId="55" fillId="0" borderId="11" xfId="0" applyNumberFormat="1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23" xfId="0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0" fontId="54" fillId="33" borderId="2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6"/>
  <sheetViews>
    <sheetView tabSelected="1" view="pageBreakPreview" zoomScale="80" zoomScaleSheetLayoutView="80" zoomScalePageLayoutView="0" workbookViewId="0" topLeftCell="A1">
      <pane ySplit="15" topLeftCell="A16" activePane="bottomLeft" state="frozen"/>
      <selection pane="topLeft" activeCell="A1" sqref="A1"/>
      <selection pane="bottomLeft" activeCell="I5" sqref="I5:K5"/>
    </sheetView>
  </sheetViews>
  <sheetFormatPr defaultColWidth="9.140625" defaultRowHeight="15"/>
  <cols>
    <col min="1" max="1" width="6.57421875" style="0" customWidth="1"/>
    <col min="2" max="2" width="50.00390625" style="0" customWidth="1"/>
    <col min="3" max="3" width="14.421875" style="0" customWidth="1"/>
    <col min="4" max="4" width="12.7109375" style="0" customWidth="1"/>
    <col min="5" max="5" width="10.140625" style="0" customWidth="1"/>
    <col min="6" max="6" width="9.8515625" style="0" bestFit="1" customWidth="1"/>
    <col min="7" max="7" width="10.57421875" style="0" customWidth="1"/>
    <col min="8" max="8" width="10.8515625" style="0" customWidth="1"/>
    <col min="9" max="10" width="9.8515625" style="0" bestFit="1" customWidth="1"/>
    <col min="11" max="11" width="31.00390625" style="0" customWidth="1"/>
    <col min="12" max="19" width="9.140625" style="0" hidden="1" customWidth="1"/>
    <col min="20" max="20" width="13.421875" style="0" hidden="1" customWidth="1"/>
    <col min="21" max="21" width="0" style="0" hidden="1" customWidth="1"/>
    <col min="22" max="22" width="9.28125" style="0" hidden="1" customWidth="1"/>
    <col min="23" max="30" width="0" style="0" hidden="1" customWidth="1"/>
  </cols>
  <sheetData>
    <row r="1" ht="14.25">
      <c r="K1" s="79"/>
    </row>
    <row r="2" spans="9:12" ht="14.25" customHeight="1">
      <c r="I2" s="138" t="s">
        <v>180</v>
      </c>
      <c r="J2" s="139"/>
      <c r="K2" s="139"/>
      <c r="L2" s="79"/>
    </row>
    <row r="3" spans="9:12" ht="14.25">
      <c r="I3" s="138" t="s">
        <v>181</v>
      </c>
      <c r="J3" s="138"/>
      <c r="K3" s="138"/>
      <c r="L3" s="79"/>
    </row>
    <row r="4" spans="9:12" ht="14.25">
      <c r="I4" s="138" t="s">
        <v>182</v>
      </c>
      <c r="J4" s="138"/>
      <c r="K4" s="138"/>
      <c r="L4" s="79"/>
    </row>
    <row r="5" spans="9:12" ht="14.25">
      <c r="I5" s="140" t="s">
        <v>183</v>
      </c>
      <c r="J5" s="140"/>
      <c r="K5" s="140"/>
      <c r="L5" s="79"/>
    </row>
    <row r="6" spans="10:12" ht="14.25">
      <c r="J6" s="137"/>
      <c r="K6" s="137"/>
      <c r="L6" s="79"/>
    </row>
    <row r="7" spans="10:12" ht="14.25">
      <c r="J7" s="137"/>
      <c r="K7" s="137"/>
      <c r="L7" s="79"/>
    </row>
    <row r="8" spans="10:12" ht="14.25">
      <c r="J8" s="137"/>
      <c r="K8" s="137"/>
      <c r="L8" s="79"/>
    </row>
    <row r="9" spans="1:11" ht="29.25" customHeight="1">
      <c r="A9" s="46"/>
      <c r="B9" s="141" t="s">
        <v>103</v>
      </c>
      <c r="C9" s="141"/>
      <c r="D9" s="142"/>
      <c r="E9" s="142"/>
      <c r="F9" s="142"/>
      <c r="G9" s="142"/>
      <c r="H9" s="142"/>
      <c r="I9" s="142"/>
      <c r="J9" s="142"/>
      <c r="K9" s="142"/>
    </row>
    <row r="10" spans="1:14" ht="15" thickBot="1">
      <c r="A10" s="1"/>
      <c r="M10" s="75"/>
      <c r="N10" s="75">
        <v>44001</v>
      </c>
    </row>
    <row r="11" spans="1:11" ht="75.75" customHeight="1">
      <c r="A11" s="83" t="s">
        <v>0</v>
      </c>
      <c r="B11" s="143" t="s">
        <v>146</v>
      </c>
      <c r="C11" s="143" t="s">
        <v>145</v>
      </c>
      <c r="D11" s="146" t="s">
        <v>2</v>
      </c>
      <c r="E11" s="147"/>
      <c r="F11" s="147"/>
      <c r="G11" s="147"/>
      <c r="H11" s="147"/>
      <c r="I11" s="147"/>
      <c r="J11" s="147"/>
      <c r="K11" s="143" t="s">
        <v>147</v>
      </c>
    </row>
    <row r="12" spans="1:11" ht="69.75" customHeight="1">
      <c r="A12" s="84" t="s">
        <v>1</v>
      </c>
      <c r="B12" s="144"/>
      <c r="C12" s="144"/>
      <c r="D12" s="148"/>
      <c r="E12" s="149"/>
      <c r="F12" s="149"/>
      <c r="G12" s="149"/>
      <c r="H12" s="149"/>
      <c r="I12" s="149"/>
      <c r="J12" s="149"/>
      <c r="K12" s="144"/>
    </row>
    <row r="13" spans="1:11" ht="21.75" customHeight="1">
      <c r="A13" s="2"/>
      <c r="B13" s="144"/>
      <c r="C13" s="144"/>
      <c r="D13" s="148"/>
      <c r="E13" s="149"/>
      <c r="F13" s="149"/>
      <c r="G13" s="149"/>
      <c r="H13" s="149"/>
      <c r="I13" s="149"/>
      <c r="J13" s="149"/>
      <c r="K13" s="144"/>
    </row>
    <row r="14" spans="1:11" ht="16.5" customHeight="1" thickBot="1">
      <c r="A14" s="2"/>
      <c r="B14" s="144"/>
      <c r="C14" s="145"/>
      <c r="D14" s="150"/>
      <c r="E14" s="151"/>
      <c r="F14" s="151"/>
      <c r="G14" s="151"/>
      <c r="H14" s="151"/>
      <c r="I14" s="151"/>
      <c r="J14" s="151"/>
      <c r="K14" s="145"/>
    </row>
    <row r="15" spans="1:11" ht="15.75" thickBot="1">
      <c r="A15" s="3"/>
      <c r="B15" s="145"/>
      <c r="C15" s="45"/>
      <c r="D15" s="45" t="s">
        <v>3</v>
      </c>
      <c r="E15" s="45">
        <v>2020</v>
      </c>
      <c r="F15" s="45">
        <v>2021</v>
      </c>
      <c r="G15" s="45">
        <v>2022</v>
      </c>
      <c r="H15" s="45">
        <v>2023</v>
      </c>
      <c r="I15" s="45">
        <v>2024</v>
      </c>
      <c r="J15" s="59">
        <v>2025</v>
      </c>
      <c r="K15" s="45"/>
    </row>
    <row r="16" spans="1:11" ht="15.75" thickBot="1">
      <c r="A16" s="5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</row>
    <row r="17" spans="1:11" ht="31.5" thickBot="1">
      <c r="A17" s="7">
        <v>1</v>
      </c>
      <c r="B17" s="8" t="s">
        <v>36</v>
      </c>
      <c r="C17" s="108" t="s">
        <v>171</v>
      </c>
      <c r="D17" s="61">
        <f>SUM(E17:J17)</f>
        <v>2650568.61</v>
      </c>
      <c r="E17" s="62">
        <f>E18+E19+E20</f>
        <v>396145.3</v>
      </c>
      <c r="F17" s="62">
        <f>F18+F19+F20</f>
        <v>458495.5</v>
      </c>
      <c r="G17" s="62">
        <f>G18+G19+G20</f>
        <v>509450.19999999995</v>
      </c>
      <c r="H17" s="62">
        <f>H18+H19+H20</f>
        <v>434565.9</v>
      </c>
      <c r="I17" s="62">
        <f>I18+I19+I20+0.11</f>
        <v>438536.20999999996</v>
      </c>
      <c r="J17" s="62">
        <f>J18+J19+J20+0.1</f>
        <v>413375.5</v>
      </c>
      <c r="K17" s="9"/>
    </row>
    <row r="18" spans="1:11" ht="15.75" thickBot="1">
      <c r="A18" s="7">
        <v>2</v>
      </c>
      <c r="B18" s="8" t="s">
        <v>39</v>
      </c>
      <c r="C18" s="108" t="s">
        <v>171</v>
      </c>
      <c r="D18" s="61">
        <f>SUM(E18:J18)</f>
        <v>95962.29999999999</v>
      </c>
      <c r="E18" s="63">
        <f aca="true" t="shared" si="0" ref="E18:J18">E71</f>
        <v>5044.8</v>
      </c>
      <c r="F18" s="63">
        <f t="shared" si="0"/>
        <v>37895</v>
      </c>
      <c r="G18" s="63">
        <f t="shared" si="0"/>
        <v>24586.199999999997</v>
      </c>
      <c r="H18" s="63">
        <f t="shared" si="0"/>
        <v>14150.4</v>
      </c>
      <c r="I18" s="63">
        <f t="shared" si="0"/>
        <v>14285.9</v>
      </c>
      <c r="J18" s="63">
        <f t="shared" si="0"/>
        <v>0</v>
      </c>
      <c r="K18" s="9"/>
    </row>
    <row r="19" spans="1:11" ht="15.75" thickBot="1">
      <c r="A19" s="7">
        <v>3</v>
      </c>
      <c r="B19" s="8" t="s">
        <v>4</v>
      </c>
      <c r="C19" s="108" t="s">
        <v>171</v>
      </c>
      <c r="D19" s="61">
        <f>SUM(E19:J19)+0.1</f>
        <v>1438783.0999999999</v>
      </c>
      <c r="E19" s="63">
        <f aca="true" t="shared" si="1" ref="E19:J19">E31+E72+E192+E238+E281</f>
        <v>206040</v>
      </c>
      <c r="F19" s="63">
        <f t="shared" si="1"/>
        <v>232078.2</v>
      </c>
      <c r="G19" s="63">
        <f t="shared" si="1"/>
        <v>253636.19999999995</v>
      </c>
      <c r="H19" s="63">
        <f t="shared" si="1"/>
        <v>256569.4</v>
      </c>
      <c r="I19" s="63">
        <f t="shared" si="1"/>
        <v>261474.5</v>
      </c>
      <c r="J19" s="63">
        <f t="shared" si="1"/>
        <v>228984.7</v>
      </c>
      <c r="K19" s="9"/>
    </row>
    <row r="20" spans="1:11" ht="15.75" thickBot="1">
      <c r="A20" s="7">
        <v>4</v>
      </c>
      <c r="B20" s="8" t="s">
        <v>5</v>
      </c>
      <c r="C20" s="108" t="s">
        <v>171</v>
      </c>
      <c r="D20" s="61">
        <f>SUM(E20:J20)</f>
        <v>1115823.0999999999</v>
      </c>
      <c r="E20" s="61">
        <f>E32+E73+E193+E239+E282+E301+E334+E324+E344+0.1</f>
        <v>185060.5</v>
      </c>
      <c r="F20" s="61">
        <f>F32+F73+F193+F239+F282+F301+F334+F324+F344+0.1</f>
        <v>188522.3</v>
      </c>
      <c r="G20" s="61">
        <f>G32+G73+G193+G239+G282+G301+G334+G324+G344</f>
        <v>231227.8</v>
      </c>
      <c r="H20" s="61">
        <f>H32+H73+H193+H239+H282+H301+H334+H324+H344</f>
        <v>163846.10000000003</v>
      </c>
      <c r="I20" s="61">
        <f>I32+I73+I193+I239+I282+I301+I334+I324+I344-0.1</f>
        <v>162775.69999999998</v>
      </c>
      <c r="J20" s="61">
        <f>J32+J73+J193+J239+J282+J301+J334+J324+J344+0.1</f>
        <v>184390.7</v>
      </c>
      <c r="K20" s="9"/>
    </row>
    <row r="21" spans="1:11" ht="16.5" customHeight="1" hidden="1" thickBot="1">
      <c r="A21" s="7"/>
      <c r="B21" s="8" t="s">
        <v>6</v>
      </c>
      <c r="C21" s="108"/>
      <c r="D21" s="14"/>
      <c r="E21" s="14"/>
      <c r="F21" s="15"/>
      <c r="G21" s="14"/>
      <c r="H21" s="14"/>
      <c r="I21" s="14"/>
      <c r="J21" s="14"/>
      <c r="K21" s="9"/>
    </row>
    <row r="22" spans="1:11" ht="16.5" customHeight="1" hidden="1" thickBot="1">
      <c r="A22" s="7"/>
      <c r="B22" s="8" t="s">
        <v>4</v>
      </c>
      <c r="C22" s="108"/>
      <c r="D22" s="14"/>
      <c r="E22" s="14"/>
      <c r="F22" s="14"/>
      <c r="G22" s="14"/>
      <c r="H22" s="14"/>
      <c r="I22" s="14"/>
      <c r="J22" s="14"/>
      <c r="K22" s="9"/>
    </row>
    <row r="23" spans="1:11" ht="16.5" customHeight="1" hidden="1" thickBot="1">
      <c r="A23" s="7"/>
      <c r="B23" s="8" t="s">
        <v>5</v>
      </c>
      <c r="C23" s="108"/>
      <c r="D23" s="14"/>
      <c r="E23" s="14"/>
      <c r="F23" s="14"/>
      <c r="G23" s="14"/>
      <c r="H23" s="14"/>
      <c r="I23" s="14"/>
      <c r="J23" s="14"/>
      <c r="K23" s="9"/>
    </row>
    <row r="24" spans="1:11" ht="32.25" customHeight="1" hidden="1" thickBot="1">
      <c r="A24" s="7"/>
      <c r="B24" s="40" t="s">
        <v>7</v>
      </c>
      <c r="C24" s="109"/>
      <c r="D24" s="92"/>
      <c r="E24" s="92"/>
      <c r="F24" s="93"/>
      <c r="G24" s="92"/>
      <c r="H24" s="92"/>
      <c r="I24" s="92"/>
      <c r="J24" s="92"/>
      <c r="K24" s="94"/>
    </row>
    <row r="25" spans="1:11" ht="52.5" customHeight="1" thickBot="1">
      <c r="A25" s="91">
        <v>5</v>
      </c>
      <c r="B25" s="97" t="s">
        <v>148</v>
      </c>
      <c r="C25" s="110" t="s">
        <v>171</v>
      </c>
      <c r="D25" s="101">
        <f>D27+D28</f>
        <v>5868</v>
      </c>
      <c r="E25" s="101">
        <f aca="true" t="shared" si="2" ref="E25:J25">E27+E28</f>
        <v>1692.9</v>
      </c>
      <c r="F25" s="101">
        <f t="shared" si="2"/>
        <v>476.40000000000003</v>
      </c>
      <c r="G25" s="101">
        <f>G27+G28+G26</f>
        <v>4458.3</v>
      </c>
      <c r="H25" s="101">
        <f t="shared" si="2"/>
        <v>0</v>
      </c>
      <c r="I25" s="101">
        <f t="shared" si="2"/>
        <v>0</v>
      </c>
      <c r="J25" s="101">
        <f t="shared" si="2"/>
        <v>0</v>
      </c>
      <c r="K25" s="95"/>
    </row>
    <row r="26" spans="1:11" ht="15.75" thickBot="1">
      <c r="A26" s="7">
        <v>6</v>
      </c>
      <c r="B26" s="96" t="s">
        <v>39</v>
      </c>
      <c r="C26" s="108" t="s">
        <v>171</v>
      </c>
      <c r="D26" s="102">
        <f>SUM(E26:J26)</f>
        <v>759.6</v>
      </c>
      <c r="E26" s="103">
        <f aca="true" t="shared" si="3" ref="E26:J28">E78</f>
        <v>0</v>
      </c>
      <c r="F26" s="103">
        <f t="shared" si="3"/>
        <v>0</v>
      </c>
      <c r="G26" s="103">
        <f t="shared" si="3"/>
        <v>759.6</v>
      </c>
      <c r="H26" s="103">
        <f t="shared" si="3"/>
        <v>0</v>
      </c>
      <c r="I26" s="103">
        <f t="shared" si="3"/>
        <v>0</v>
      </c>
      <c r="J26" s="103">
        <f t="shared" si="3"/>
        <v>0</v>
      </c>
      <c r="K26" s="9"/>
    </row>
    <row r="27" spans="1:11" ht="15.75" thickBot="1">
      <c r="A27" s="7">
        <v>7</v>
      </c>
      <c r="B27" s="96" t="s">
        <v>4</v>
      </c>
      <c r="C27" s="108" t="s">
        <v>171</v>
      </c>
      <c r="D27" s="102">
        <f>SUM(E27:J27)</f>
        <v>0</v>
      </c>
      <c r="E27" s="103">
        <f t="shared" si="3"/>
        <v>0</v>
      </c>
      <c r="F27" s="103">
        <f t="shared" si="3"/>
        <v>0</v>
      </c>
      <c r="G27" s="103">
        <f t="shared" si="3"/>
        <v>0</v>
      </c>
      <c r="H27" s="103">
        <f t="shared" si="3"/>
        <v>0</v>
      </c>
      <c r="I27" s="103">
        <f t="shared" si="3"/>
        <v>0</v>
      </c>
      <c r="J27" s="103">
        <f t="shared" si="3"/>
        <v>0</v>
      </c>
      <c r="K27" s="9"/>
    </row>
    <row r="28" spans="1:11" ht="15.75" thickBot="1">
      <c r="A28" s="7">
        <v>8</v>
      </c>
      <c r="B28" s="96" t="s">
        <v>5</v>
      </c>
      <c r="C28" s="108" t="s">
        <v>171</v>
      </c>
      <c r="D28" s="102">
        <f>SUM(E28:J28)</f>
        <v>5868</v>
      </c>
      <c r="E28" s="102">
        <f t="shared" si="3"/>
        <v>1692.9</v>
      </c>
      <c r="F28" s="102">
        <f t="shared" si="3"/>
        <v>476.40000000000003</v>
      </c>
      <c r="G28" s="102">
        <f t="shared" si="3"/>
        <v>3698.7000000000003</v>
      </c>
      <c r="H28" s="102">
        <f t="shared" si="3"/>
        <v>0</v>
      </c>
      <c r="I28" s="102">
        <f t="shared" si="3"/>
        <v>0</v>
      </c>
      <c r="J28" s="102">
        <f t="shared" si="3"/>
        <v>0</v>
      </c>
      <c r="K28" s="9"/>
    </row>
    <row r="29" spans="1:11" ht="31.5" customHeight="1" thickBot="1">
      <c r="A29" s="7"/>
      <c r="B29" s="152" t="s">
        <v>68</v>
      </c>
      <c r="C29" s="153"/>
      <c r="D29" s="153"/>
      <c r="E29" s="153"/>
      <c r="F29" s="153"/>
      <c r="G29" s="153"/>
      <c r="H29" s="153"/>
      <c r="I29" s="153"/>
      <c r="J29" s="153"/>
      <c r="K29" s="154"/>
    </row>
    <row r="30" spans="1:11" ht="60.75" customHeight="1" thickBot="1">
      <c r="A30" s="82">
        <v>9</v>
      </c>
      <c r="B30" s="16" t="s">
        <v>8</v>
      </c>
      <c r="C30" s="45" t="s">
        <v>171</v>
      </c>
      <c r="D30" s="17">
        <f>E30+F30+G30+H30+I30+J30</f>
        <v>767797.8</v>
      </c>
      <c r="E30" s="17">
        <f aca="true" t="shared" si="4" ref="E30:J30">E31+E32</f>
        <v>115712.3</v>
      </c>
      <c r="F30" s="17">
        <f t="shared" si="4"/>
        <v>124425.1</v>
      </c>
      <c r="G30" s="17">
        <f t="shared" si="4"/>
        <v>135176.1</v>
      </c>
      <c r="H30" s="17">
        <f t="shared" si="4"/>
        <v>126945</v>
      </c>
      <c r="I30" s="17">
        <f t="shared" si="4"/>
        <v>122117.4</v>
      </c>
      <c r="J30" s="17">
        <f t="shared" si="4"/>
        <v>143421.9</v>
      </c>
      <c r="K30" s="27"/>
    </row>
    <row r="31" spans="1:11" ht="15.75" thickBot="1">
      <c r="A31" s="82">
        <v>10</v>
      </c>
      <c r="B31" s="8" t="s">
        <v>4</v>
      </c>
      <c r="C31" s="108" t="s">
        <v>171</v>
      </c>
      <c r="D31" s="17">
        <f aca="true" t="shared" si="5" ref="D31:D40">E31+F31+G31+H31+I31+J31</f>
        <v>512341.7</v>
      </c>
      <c r="E31" s="18">
        <f>E41+E53+E57+E60+E45</f>
        <v>65764.1</v>
      </c>
      <c r="F31" s="18">
        <f>F41+F53+F57+F60+F45</f>
        <v>81588.8</v>
      </c>
      <c r="G31" s="18">
        <f>G41+G53+G57+G60+G45</f>
        <v>91169.09999999999</v>
      </c>
      <c r="H31" s="18">
        <f>H41+H53+H57+H60+H45</f>
        <v>90655</v>
      </c>
      <c r="I31" s="18">
        <f>I41+I53+I57+I60+I45+I65</f>
        <v>92487</v>
      </c>
      <c r="J31" s="18">
        <f>J41+J53+J57+J60+J45</f>
        <v>90677.7</v>
      </c>
      <c r="K31" s="27"/>
    </row>
    <row r="32" spans="1:11" ht="15.75" thickBot="1">
      <c r="A32" s="82">
        <v>11</v>
      </c>
      <c r="B32" s="8" t="s">
        <v>5</v>
      </c>
      <c r="C32" s="108" t="s">
        <v>171</v>
      </c>
      <c r="D32" s="17">
        <f t="shared" si="5"/>
        <v>255456.1</v>
      </c>
      <c r="E32" s="35">
        <f>E42+E47+E50+E54+E58+E61-0.1</f>
        <v>49948.2</v>
      </c>
      <c r="F32" s="18">
        <f>F42+F47+F50+F54+F58+F61</f>
        <v>42836.299999999996</v>
      </c>
      <c r="G32" s="18">
        <f>G42+G47+G50+G54+G58+G61+G66</f>
        <v>44007.00000000001</v>
      </c>
      <c r="H32" s="18">
        <f>H42+H47+H50+H54+H58+H61</f>
        <v>36290</v>
      </c>
      <c r="I32" s="18">
        <f>I42+I47+I50+I54+I58+I61+I66</f>
        <v>29630.4</v>
      </c>
      <c r="J32" s="18">
        <f>J42+J47+J50+J54+J58+J61+J66-0.1</f>
        <v>52744.200000000004</v>
      </c>
      <c r="K32" s="27"/>
    </row>
    <row r="33" spans="1:11" ht="16.5" customHeight="1" hidden="1" thickBot="1">
      <c r="A33" s="82"/>
      <c r="B33" s="8" t="s">
        <v>6</v>
      </c>
      <c r="C33" s="108"/>
      <c r="D33" s="17">
        <f t="shared" si="5"/>
        <v>0</v>
      </c>
      <c r="E33" s="18"/>
      <c r="F33" s="18"/>
      <c r="G33" s="18"/>
      <c r="H33" s="18"/>
      <c r="I33" s="18"/>
      <c r="J33" s="18"/>
      <c r="K33" s="27"/>
    </row>
    <row r="34" spans="1:11" ht="16.5" customHeight="1" hidden="1" thickBot="1">
      <c r="A34" s="82"/>
      <c r="B34" s="8" t="s">
        <v>4</v>
      </c>
      <c r="C34" s="108"/>
      <c r="D34" s="17">
        <f t="shared" si="5"/>
        <v>0</v>
      </c>
      <c r="E34" s="18"/>
      <c r="F34" s="18"/>
      <c r="G34" s="18"/>
      <c r="H34" s="18"/>
      <c r="I34" s="18"/>
      <c r="J34" s="18"/>
      <c r="K34" s="27"/>
    </row>
    <row r="35" spans="1:11" ht="16.5" customHeight="1" hidden="1" thickBot="1">
      <c r="A35" s="82"/>
      <c r="B35" s="8" t="s">
        <v>5</v>
      </c>
      <c r="C35" s="108"/>
      <c r="D35" s="17">
        <f t="shared" si="5"/>
        <v>0</v>
      </c>
      <c r="E35" s="18"/>
      <c r="F35" s="18"/>
      <c r="G35" s="18"/>
      <c r="H35" s="18"/>
      <c r="I35" s="18"/>
      <c r="J35" s="18"/>
      <c r="K35" s="27"/>
    </row>
    <row r="36" spans="1:11" ht="36.75" customHeight="1" hidden="1" thickBot="1">
      <c r="A36" s="82"/>
      <c r="B36" s="8" t="s">
        <v>7</v>
      </c>
      <c r="C36" s="108"/>
      <c r="D36" s="17">
        <f t="shared" si="5"/>
        <v>0</v>
      </c>
      <c r="E36" s="18"/>
      <c r="F36" s="18"/>
      <c r="G36" s="18"/>
      <c r="H36" s="18"/>
      <c r="I36" s="18"/>
      <c r="J36" s="18"/>
      <c r="K36" s="27"/>
    </row>
    <row r="37" spans="1:11" ht="52.5" customHeight="1" thickBot="1">
      <c r="A37" s="85">
        <v>12</v>
      </c>
      <c r="B37" s="96" t="s">
        <v>149</v>
      </c>
      <c r="C37" s="108" t="s">
        <v>171</v>
      </c>
      <c r="D37" s="98">
        <f>D38+D39</f>
        <v>767797.8</v>
      </c>
      <c r="E37" s="98">
        <f aca="true" t="shared" si="6" ref="E37:J37">E38+E39</f>
        <v>115712.3</v>
      </c>
      <c r="F37" s="98">
        <f t="shared" si="6"/>
        <v>124425.1</v>
      </c>
      <c r="G37" s="98">
        <f t="shared" si="6"/>
        <v>135176.1</v>
      </c>
      <c r="H37" s="98">
        <f t="shared" si="6"/>
        <v>126945</v>
      </c>
      <c r="I37" s="98">
        <f t="shared" si="6"/>
        <v>122117.4</v>
      </c>
      <c r="J37" s="98">
        <f t="shared" si="6"/>
        <v>143421.9</v>
      </c>
      <c r="K37" s="27"/>
    </row>
    <row r="38" spans="1:11" ht="15.75" thickBot="1">
      <c r="A38" s="85">
        <v>13</v>
      </c>
      <c r="B38" s="96" t="s">
        <v>4</v>
      </c>
      <c r="C38" s="108" t="s">
        <v>171</v>
      </c>
      <c r="D38" s="98">
        <f>E38+F38+G38+H38+I38+J38</f>
        <v>512341.7</v>
      </c>
      <c r="E38" s="99">
        <f aca="true" t="shared" si="7" ref="E38:J39">E31</f>
        <v>65764.1</v>
      </c>
      <c r="F38" s="99">
        <f t="shared" si="7"/>
        <v>81588.8</v>
      </c>
      <c r="G38" s="99">
        <f t="shared" si="7"/>
        <v>91169.09999999999</v>
      </c>
      <c r="H38" s="99">
        <f t="shared" si="7"/>
        <v>90655</v>
      </c>
      <c r="I38" s="99">
        <f t="shared" si="7"/>
        <v>92487</v>
      </c>
      <c r="J38" s="99">
        <f t="shared" si="7"/>
        <v>90677.7</v>
      </c>
      <c r="K38" s="27"/>
    </row>
    <row r="39" spans="1:11" ht="15.75" thickBot="1">
      <c r="A39" s="85">
        <v>14</v>
      </c>
      <c r="B39" s="96" t="s">
        <v>5</v>
      </c>
      <c r="C39" s="108" t="s">
        <v>171</v>
      </c>
      <c r="D39" s="98">
        <f>E39+F39+G39+H39+I39+J39</f>
        <v>255456.1</v>
      </c>
      <c r="E39" s="100">
        <f t="shared" si="7"/>
        <v>49948.2</v>
      </c>
      <c r="F39" s="100">
        <f t="shared" si="7"/>
        <v>42836.299999999996</v>
      </c>
      <c r="G39" s="100">
        <f t="shared" si="7"/>
        <v>44007.00000000001</v>
      </c>
      <c r="H39" s="100">
        <f t="shared" si="7"/>
        <v>36290</v>
      </c>
      <c r="I39" s="100">
        <f t="shared" si="7"/>
        <v>29630.4</v>
      </c>
      <c r="J39" s="100">
        <f t="shared" si="7"/>
        <v>52744.200000000004</v>
      </c>
      <c r="K39" s="27"/>
    </row>
    <row r="40" spans="1:11" ht="114.75" customHeight="1" thickBot="1">
      <c r="A40" s="82">
        <v>15</v>
      </c>
      <c r="B40" s="51" t="s">
        <v>109</v>
      </c>
      <c r="C40" s="111" t="s">
        <v>171</v>
      </c>
      <c r="D40" s="17">
        <f t="shared" si="5"/>
        <v>506391.8</v>
      </c>
      <c r="E40" s="17">
        <f aca="true" t="shared" si="8" ref="E40:J40">E41+E42</f>
        <v>64787.4</v>
      </c>
      <c r="F40" s="17">
        <f t="shared" si="8"/>
        <v>80643.8</v>
      </c>
      <c r="G40" s="17">
        <f t="shared" si="8"/>
        <v>90272.09999999999</v>
      </c>
      <c r="H40" s="17">
        <f t="shared" si="8"/>
        <v>89632.8</v>
      </c>
      <c r="I40" s="17">
        <f t="shared" si="8"/>
        <v>91422.9</v>
      </c>
      <c r="J40" s="17">
        <f t="shared" si="8"/>
        <v>89632.8</v>
      </c>
      <c r="K40" s="64" t="s">
        <v>73</v>
      </c>
    </row>
    <row r="41" spans="1:31" ht="15.75" thickBot="1">
      <c r="A41" s="82">
        <v>16</v>
      </c>
      <c r="B41" s="8" t="s">
        <v>4</v>
      </c>
      <c r="C41" s="108" t="s">
        <v>171</v>
      </c>
      <c r="D41" s="17">
        <f>E41+F41+G41+H41+I41+J41</f>
        <v>506391.8</v>
      </c>
      <c r="E41" s="18">
        <f>67665+M41+R41</f>
        <v>64787.4</v>
      </c>
      <c r="F41" s="18">
        <f>76104.9+S41+U41</f>
        <v>80643.8</v>
      </c>
      <c r="G41" s="18">
        <f>90186.2+85.9</f>
        <v>90272.09999999999</v>
      </c>
      <c r="H41" s="18">
        <v>89632.8</v>
      </c>
      <c r="I41" s="18">
        <v>91422.9</v>
      </c>
      <c r="J41" s="18">
        <v>89632.8</v>
      </c>
      <c r="K41" s="27"/>
      <c r="M41">
        <v>820</v>
      </c>
      <c r="R41">
        <v>-3697.6</v>
      </c>
      <c r="S41">
        <v>21.1</v>
      </c>
      <c r="U41">
        <v>4517.8</v>
      </c>
      <c r="AE41">
        <v>85.9</v>
      </c>
    </row>
    <row r="42" spans="1:11" ht="16.5" customHeight="1" hidden="1" thickBot="1">
      <c r="A42" s="82"/>
      <c r="B42" s="8" t="s">
        <v>5</v>
      </c>
      <c r="C42" s="108"/>
      <c r="D42" s="17" t="e">
        <f>E42+F42+G42+H42+I42+J42+#REF!</f>
        <v>#REF!</v>
      </c>
      <c r="E42" s="18"/>
      <c r="F42" s="18"/>
      <c r="G42" s="18"/>
      <c r="H42" s="18"/>
      <c r="I42" s="18"/>
      <c r="J42" s="18"/>
      <c r="K42" s="27"/>
    </row>
    <row r="43" spans="1:11" ht="48" customHeight="1" hidden="1" thickBot="1">
      <c r="A43" s="82"/>
      <c r="B43" s="8" t="s">
        <v>20</v>
      </c>
      <c r="C43" s="108"/>
      <c r="D43" s="17" t="e">
        <f>E43+F43+G43+H43+I43+J43+#REF!</f>
        <v>#REF!</v>
      </c>
      <c r="E43" s="18"/>
      <c r="F43" s="18"/>
      <c r="G43" s="18"/>
      <c r="H43" s="18"/>
      <c r="I43" s="18"/>
      <c r="J43" s="18"/>
      <c r="K43" s="27"/>
    </row>
    <row r="44" spans="1:11" ht="143.25" customHeight="1" thickBot="1">
      <c r="A44" s="82">
        <v>17</v>
      </c>
      <c r="B44" s="51" t="s">
        <v>110</v>
      </c>
      <c r="C44" s="111" t="s">
        <v>171</v>
      </c>
      <c r="D44" s="17">
        <f>D45</f>
        <v>5949.9</v>
      </c>
      <c r="E44" s="17">
        <f aca="true" t="shared" si="9" ref="E44:J44">E45</f>
        <v>976.7</v>
      </c>
      <c r="F44" s="17">
        <f t="shared" si="9"/>
        <v>945</v>
      </c>
      <c r="G44" s="17">
        <f t="shared" si="9"/>
        <v>897</v>
      </c>
      <c r="H44" s="17">
        <f t="shared" si="9"/>
        <v>1022.2</v>
      </c>
      <c r="I44" s="17">
        <f t="shared" si="9"/>
        <v>1064.1</v>
      </c>
      <c r="J44" s="17">
        <f t="shared" si="9"/>
        <v>1044.9</v>
      </c>
      <c r="K44" s="64" t="s">
        <v>76</v>
      </c>
    </row>
    <row r="45" spans="1:31" ht="15.75" thickBot="1">
      <c r="A45" s="82">
        <v>18</v>
      </c>
      <c r="B45" s="8" t="s">
        <v>4</v>
      </c>
      <c r="C45" s="108" t="s">
        <v>171</v>
      </c>
      <c r="D45" s="17">
        <f>E45+F45+G45+H45+I45+J45</f>
        <v>5949.9</v>
      </c>
      <c r="E45" s="18">
        <f>929+M45</f>
        <v>976.7</v>
      </c>
      <c r="F45" s="18">
        <f>966.1+S45</f>
        <v>945</v>
      </c>
      <c r="G45" s="18">
        <f>982.9+AE45</f>
        <v>897</v>
      </c>
      <c r="H45" s="18">
        <v>1022.2</v>
      </c>
      <c r="I45" s="18">
        <v>1064.1</v>
      </c>
      <c r="J45" s="18">
        <v>1044.9</v>
      </c>
      <c r="K45" s="27"/>
      <c r="M45" s="74">
        <v>47.7</v>
      </c>
      <c r="S45">
        <v>-21.1</v>
      </c>
      <c r="AE45">
        <v>-85.9</v>
      </c>
    </row>
    <row r="46" spans="1:11" ht="78" thickBot="1">
      <c r="A46" s="82">
        <v>19</v>
      </c>
      <c r="B46" s="51" t="s">
        <v>104</v>
      </c>
      <c r="C46" s="111" t="s">
        <v>171</v>
      </c>
      <c r="D46" s="17">
        <f>D47</f>
        <v>245092.69999999998</v>
      </c>
      <c r="E46" s="17">
        <f aca="true" t="shared" si="10" ref="E46:J46">E47</f>
        <v>44279.7</v>
      </c>
      <c r="F46" s="17">
        <f t="shared" si="10"/>
        <v>42476.7</v>
      </c>
      <c r="G46" s="17">
        <f t="shared" si="10"/>
        <v>41240.9</v>
      </c>
      <c r="H46" s="17">
        <f t="shared" si="10"/>
        <v>36290</v>
      </c>
      <c r="I46" s="17">
        <f t="shared" si="10"/>
        <v>29630.4</v>
      </c>
      <c r="J46" s="17">
        <f t="shared" si="10"/>
        <v>51175</v>
      </c>
      <c r="K46" s="27" t="s">
        <v>150</v>
      </c>
    </row>
    <row r="47" spans="1:30" ht="15.75" thickBot="1">
      <c r="A47" s="82">
        <v>20</v>
      </c>
      <c r="B47" s="8" t="s">
        <v>5</v>
      </c>
      <c r="C47" s="108" t="s">
        <v>171</v>
      </c>
      <c r="D47" s="17">
        <f>E47+F47+G47+H47+I47+J47</f>
        <v>245092.69999999998</v>
      </c>
      <c r="E47" s="18">
        <f>44264.7+L47+M47+N47+P47+Q47+R47</f>
        <v>44279.7</v>
      </c>
      <c r="F47" s="18">
        <f>43744.5+T47+U47+V47+W47+X47</f>
        <v>42476.7</v>
      </c>
      <c r="G47" s="18">
        <f>44129.8+Y47+Z47+AA47+AC47+AD47</f>
        <v>41240.9</v>
      </c>
      <c r="H47" s="18">
        <v>36290</v>
      </c>
      <c r="I47" s="18">
        <f>44630.4-15000</f>
        <v>29630.4</v>
      </c>
      <c r="J47" s="18">
        <v>51175</v>
      </c>
      <c r="K47" s="27"/>
      <c r="L47">
        <v>-150</v>
      </c>
      <c r="M47">
        <v>10</v>
      </c>
      <c r="N47">
        <v>141.8</v>
      </c>
      <c r="P47">
        <v>-572.9</v>
      </c>
      <c r="Q47">
        <v>852.2</v>
      </c>
      <c r="R47">
        <v>-266.1</v>
      </c>
      <c r="T47">
        <v>-30</v>
      </c>
      <c r="U47">
        <v>-465.3</v>
      </c>
      <c r="V47">
        <v>80</v>
      </c>
      <c r="W47">
        <v>-30</v>
      </c>
      <c r="X47">
        <f>-849.5+27</f>
        <v>-822.5</v>
      </c>
      <c r="Y47">
        <v>-250.5</v>
      </c>
      <c r="Z47">
        <v>-768.1</v>
      </c>
      <c r="AA47">
        <v>-913.1</v>
      </c>
      <c r="AC47">
        <v>-193.4</v>
      </c>
      <c r="AD47">
        <v>-763.8</v>
      </c>
    </row>
    <row r="48" spans="1:11" ht="15">
      <c r="A48" s="81">
        <v>21</v>
      </c>
      <c r="B48" s="12" t="s">
        <v>15</v>
      </c>
      <c r="C48" s="112"/>
      <c r="D48" s="155">
        <f>D50</f>
        <v>0</v>
      </c>
      <c r="E48" s="155">
        <f aca="true" t="shared" si="11" ref="E48:J48">E50</f>
        <v>0</v>
      </c>
      <c r="F48" s="155">
        <f t="shared" si="11"/>
        <v>0</v>
      </c>
      <c r="G48" s="155">
        <f>G50</f>
        <v>0</v>
      </c>
      <c r="H48" s="155">
        <f t="shared" si="11"/>
        <v>0</v>
      </c>
      <c r="I48" s="155">
        <f t="shared" si="11"/>
        <v>0</v>
      </c>
      <c r="J48" s="155">
        <f t="shared" si="11"/>
        <v>0</v>
      </c>
      <c r="K48" s="157" t="s">
        <v>74</v>
      </c>
    </row>
    <row r="49" spans="1:11" ht="47.25" thickBot="1">
      <c r="A49" s="82">
        <v>22</v>
      </c>
      <c r="B49" s="52" t="s">
        <v>105</v>
      </c>
      <c r="C49" s="113" t="s">
        <v>171</v>
      </c>
      <c r="D49" s="156"/>
      <c r="E49" s="156"/>
      <c r="F49" s="156"/>
      <c r="G49" s="156"/>
      <c r="H49" s="156"/>
      <c r="I49" s="156"/>
      <c r="J49" s="156"/>
      <c r="K49" s="158"/>
    </row>
    <row r="50" spans="1:11" ht="15.75" thickBot="1">
      <c r="A50" s="82">
        <v>23</v>
      </c>
      <c r="B50" s="8" t="s">
        <v>5</v>
      </c>
      <c r="C50" s="108" t="s">
        <v>171</v>
      </c>
      <c r="D50" s="17">
        <f>E50+F50+G50+H50+I50+J50</f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27"/>
    </row>
    <row r="51" spans="1:11" ht="15">
      <c r="A51" s="159">
        <v>24</v>
      </c>
      <c r="B51" s="12" t="s">
        <v>9</v>
      </c>
      <c r="C51" s="112"/>
      <c r="D51" s="155">
        <f aca="true" t="shared" si="12" ref="D51:J51">D53+D54</f>
        <v>9196.199999999999</v>
      </c>
      <c r="E51" s="155">
        <f t="shared" si="12"/>
        <v>5491.5</v>
      </c>
      <c r="F51" s="155">
        <f t="shared" si="12"/>
        <v>359.6</v>
      </c>
      <c r="G51" s="155">
        <f t="shared" si="12"/>
        <v>1775.7999999999997</v>
      </c>
      <c r="H51" s="155">
        <f t="shared" si="12"/>
        <v>0</v>
      </c>
      <c r="I51" s="155">
        <f t="shared" si="12"/>
        <v>0</v>
      </c>
      <c r="J51" s="155">
        <f t="shared" si="12"/>
        <v>1569.3</v>
      </c>
      <c r="K51" s="157" t="s">
        <v>75</v>
      </c>
    </row>
    <row r="52" spans="1:11" ht="69.75" customHeight="1" thickBot="1">
      <c r="A52" s="160"/>
      <c r="B52" s="50" t="s">
        <v>106</v>
      </c>
      <c r="C52" s="114" t="s">
        <v>171</v>
      </c>
      <c r="D52" s="156"/>
      <c r="E52" s="156"/>
      <c r="F52" s="156"/>
      <c r="G52" s="156"/>
      <c r="H52" s="156"/>
      <c r="I52" s="156"/>
      <c r="J52" s="156"/>
      <c r="K52" s="158"/>
    </row>
    <row r="53" spans="1:11" ht="15.75" thickBot="1">
      <c r="A53" s="82">
        <v>25</v>
      </c>
      <c r="B53" s="8" t="s">
        <v>4</v>
      </c>
      <c r="C53" s="108" t="s">
        <v>171</v>
      </c>
      <c r="D53" s="17">
        <f>E53+F53+G53+H53+I53+J53</f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27"/>
    </row>
    <row r="54" spans="1:31" ht="15.75" thickBot="1">
      <c r="A54" s="82">
        <v>26</v>
      </c>
      <c r="B54" s="8" t="s">
        <v>5</v>
      </c>
      <c r="C54" s="108" t="s">
        <v>171</v>
      </c>
      <c r="D54" s="17">
        <f>E54+F54+G54+H54+I54+J54</f>
        <v>9196.199999999999</v>
      </c>
      <c r="E54" s="18">
        <f>1815.1+L54+M54+N54+O54+P54</f>
        <v>5491.5</v>
      </c>
      <c r="F54" s="18">
        <v>359.6</v>
      </c>
      <c r="G54" s="18">
        <f>1565.3+115.1+AD54+AE54</f>
        <v>1775.7999999999997</v>
      </c>
      <c r="H54" s="18">
        <v>0</v>
      </c>
      <c r="I54" s="18">
        <v>0</v>
      </c>
      <c r="J54" s="18">
        <v>1569.3</v>
      </c>
      <c r="K54" s="27"/>
      <c r="L54">
        <v>2531.5</v>
      </c>
      <c r="M54">
        <v>300.4</v>
      </c>
      <c r="N54">
        <v>-146.3</v>
      </c>
      <c r="O54">
        <v>817.5</v>
      </c>
      <c r="P54">
        <v>173.3</v>
      </c>
      <c r="AC54">
        <v>115.1</v>
      </c>
      <c r="AD54">
        <v>-40.4</v>
      </c>
      <c r="AE54">
        <v>135.8</v>
      </c>
    </row>
    <row r="55" spans="1:11" ht="16.5" customHeight="1">
      <c r="A55" s="159">
        <v>27</v>
      </c>
      <c r="B55" s="25" t="s">
        <v>23</v>
      </c>
      <c r="C55" s="115"/>
      <c r="D55" s="129">
        <f aca="true" t="shared" si="13" ref="D55:J55">D57+D58</f>
        <v>0</v>
      </c>
      <c r="E55" s="129">
        <f t="shared" si="13"/>
        <v>0</v>
      </c>
      <c r="F55" s="129">
        <f t="shared" si="13"/>
        <v>0</v>
      </c>
      <c r="G55" s="129">
        <f t="shared" si="13"/>
        <v>0</v>
      </c>
      <c r="H55" s="129">
        <f t="shared" si="13"/>
        <v>0</v>
      </c>
      <c r="I55" s="129">
        <f t="shared" si="13"/>
        <v>0</v>
      </c>
      <c r="J55" s="129">
        <f t="shared" si="13"/>
        <v>0</v>
      </c>
      <c r="K55" s="161" t="s">
        <v>151</v>
      </c>
    </row>
    <row r="56" spans="1:11" ht="63.75" customHeight="1" thickBot="1">
      <c r="A56" s="160"/>
      <c r="B56" s="52" t="s">
        <v>107</v>
      </c>
      <c r="C56" s="113" t="s">
        <v>171</v>
      </c>
      <c r="D56" s="130"/>
      <c r="E56" s="130"/>
      <c r="F56" s="130"/>
      <c r="G56" s="130"/>
      <c r="H56" s="130"/>
      <c r="I56" s="130"/>
      <c r="J56" s="130"/>
      <c r="K56" s="162"/>
    </row>
    <row r="57" spans="1:11" ht="16.5" customHeight="1" thickBot="1">
      <c r="A57" s="82">
        <v>28</v>
      </c>
      <c r="B57" s="20" t="s">
        <v>4</v>
      </c>
      <c r="C57" s="116" t="s">
        <v>171</v>
      </c>
      <c r="D57" s="69">
        <f>E57+F57+G57+H57+I57+J57</f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2"/>
    </row>
    <row r="58" spans="1:11" ht="16.5" customHeight="1" thickBot="1">
      <c r="A58" s="82">
        <v>29</v>
      </c>
      <c r="B58" s="20" t="s">
        <v>5</v>
      </c>
      <c r="C58" s="116" t="s">
        <v>171</v>
      </c>
      <c r="D58" s="69">
        <f>E58+F58+G58+H58+I58+J58</f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2"/>
    </row>
    <row r="59" spans="1:11" ht="52.5" customHeight="1" thickBot="1">
      <c r="A59" s="82">
        <v>30</v>
      </c>
      <c r="B59" s="51" t="s">
        <v>108</v>
      </c>
      <c r="C59" s="111" t="s">
        <v>171</v>
      </c>
      <c r="D59" s="17">
        <f aca="true" t="shared" si="14" ref="D59:J59">D60+D61</f>
        <v>1167.3999999999999</v>
      </c>
      <c r="E59" s="17">
        <f t="shared" si="14"/>
        <v>177.1</v>
      </c>
      <c r="F59" s="17">
        <f t="shared" si="14"/>
        <v>0</v>
      </c>
      <c r="G59" s="17">
        <f t="shared" si="14"/>
        <v>990.3</v>
      </c>
      <c r="H59" s="17">
        <f t="shared" si="14"/>
        <v>0</v>
      </c>
      <c r="I59" s="17">
        <f t="shared" si="14"/>
        <v>0</v>
      </c>
      <c r="J59" s="17">
        <f t="shared" si="14"/>
        <v>0</v>
      </c>
      <c r="K59" s="27" t="s">
        <v>152</v>
      </c>
    </row>
    <row r="60" spans="1:11" ht="15.75" thickBot="1">
      <c r="A60" s="82">
        <v>31</v>
      </c>
      <c r="B60" s="8" t="s">
        <v>4</v>
      </c>
      <c r="C60" s="108" t="s">
        <v>171</v>
      </c>
      <c r="D60" s="17">
        <f>E60+F60+G60+H60+I60+J60</f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0"/>
    </row>
    <row r="61" spans="1:28" ht="15.75" thickBot="1">
      <c r="A61" s="82">
        <v>32</v>
      </c>
      <c r="B61" s="8" t="s">
        <v>5</v>
      </c>
      <c r="C61" s="108" t="s">
        <v>171</v>
      </c>
      <c r="D61" s="17">
        <f>E61+F61+G61+H61+I61+J61</f>
        <v>1167.3999999999999</v>
      </c>
      <c r="E61" s="18">
        <f>P61</f>
        <v>177.1</v>
      </c>
      <c r="F61" s="18">
        <v>0</v>
      </c>
      <c r="G61" s="18">
        <f>AB61</f>
        <v>990.3</v>
      </c>
      <c r="H61" s="18">
        <v>0</v>
      </c>
      <c r="I61" s="18">
        <v>0</v>
      </c>
      <c r="J61" s="18">
        <v>0</v>
      </c>
      <c r="K61" s="10"/>
      <c r="P61">
        <v>177.1</v>
      </c>
      <c r="AB61">
        <v>990.3</v>
      </c>
    </row>
    <row r="62" spans="1:11" s="33" customFormat="1" ht="15.75" customHeight="1">
      <c r="A62" s="133">
        <v>33</v>
      </c>
      <c r="B62" s="25" t="s">
        <v>13</v>
      </c>
      <c r="C62" s="115"/>
      <c r="D62" s="129">
        <f aca="true" t="shared" si="15" ref="D62:J62">D65+D66+D64</f>
        <v>0</v>
      </c>
      <c r="E62" s="129">
        <f t="shared" si="15"/>
        <v>0</v>
      </c>
      <c r="F62" s="129">
        <f t="shared" si="15"/>
        <v>0</v>
      </c>
      <c r="G62" s="129">
        <f t="shared" si="15"/>
        <v>0</v>
      </c>
      <c r="H62" s="129">
        <f t="shared" si="15"/>
        <v>0</v>
      </c>
      <c r="I62" s="129">
        <f t="shared" si="15"/>
        <v>0</v>
      </c>
      <c r="J62" s="129">
        <f t="shared" si="15"/>
        <v>0</v>
      </c>
      <c r="K62" s="135" t="s">
        <v>153</v>
      </c>
    </row>
    <row r="63" spans="1:11" s="33" customFormat="1" ht="68.25" customHeight="1" thickBot="1">
      <c r="A63" s="134"/>
      <c r="B63" s="52" t="s">
        <v>42</v>
      </c>
      <c r="C63" s="113" t="s">
        <v>171</v>
      </c>
      <c r="D63" s="130"/>
      <c r="E63" s="130"/>
      <c r="F63" s="130"/>
      <c r="G63" s="130"/>
      <c r="H63" s="130"/>
      <c r="I63" s="130"/>
      <c r="J63" s="130"/>
      <c r="K63" s="136"/>
    </row>
    <row r="64" spans="1:11" s="33" customFormat="1" ht="15.75" thickBot="1">
      <c r="A64" s="80">
        <v>34</v>
      </c>
      <c r="B64" s="20" t="s">
        <v>39</v>
      </c>
      <c r="C64" s="116" t="s">
        <v>171</v>
      </c>
      <c r="D64" s="69">
        <f>E64+F64+G64+H64+I64+J64</f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2"/>
    </row>
    <row r="65" spans="1:11" s="33" customFormat="1" ht="15.75" thickBot="1">
      <c r="A65" s="80">
        <v>35</v>
      </c>
      <c r="B65" s="20" t="s">
        <v>4</v>
      </c>
      <c r="C65" s="116" t="s">
        <v>171</v>
      </c>
      <c r="D65" s="69">
        <f>E65+F65+G65+H65+I65+J65</f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2"/>
    </row>
    <row r="66" spans="1:11" s="33" customFormat="1" ht="21" customHeight="1" thickBot="1">
      <c r="A66" s="80">
        <v>36</v>
      </c>
      <c r="B66" s="20" t="s">
        <v>5</v>
      </c>
      <c r="C66" s="116" t="s">
        <v>171</v>
      </c>
      <c r="D66" s="69">
        <f>E66+F66+G66+H66+I66+J66</f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2"/>
    </row>
    <row r="67" spans="1:11" ht="31.5" customHeight="1" thickBot="1">
      <c r="A67" s="11">
        <v>37</v>
      </c>
      <c r="B67" s="163" t="s">
        <v>67</v>
      </c>
      <c r="C67" s="164"/>
      <c r="D67" s="164"/>
      <c r="E67" s="164"/>
      <c r="F67" s="164"/>
      <c r="G67" s="164"/>
      <c r="H67" s="164"/>
      <c r="I67" s="164"/>
      <c r="J67" s="164"/>
      <c r="K67" s="165"/>
    </row>
    <row r="68" spans="1:11" ht="15.75" thickBot="1">
      <c r="A68" s="82">
        <v>38</v>
      </c>
      <c r="B68" s="8" t="s">
        <v>8</v>
      </c>
      <c r="C68" s="108" t="s">
        <v>171</v>
      </c>
      <c r="D68" s="17">
        <f aca="true" t="shared" si="16" ref="D68:J68">D72+D73+D71</f>
        <v>1521514.3</v>
      </c>
      <c r="E68" s="17">
        <f t="shared" si="16"/>
        <v>222524.3</v>
      </c>
      <c r="F68" s="17">
        <f t="shared" si="16"/>
        <v>262568.3</v>
      </c>
      <c r="G68" s="17">
        <f>G72+G73+G71</f>
        <v>295770.60000000003</v>
      </c>
      <c r="H68" s="17">
        <f t="shared" si="16"/>
        <v>259373.5</v>
      </c>
      <c r="I68" s="17">
        <f t="shared" si="16"/>
        <v>265008.7</v>
      </c>
      <c r="J68" s="17">
        <f t="shared" si="16"/>
        <v>216268.9</v>
      </c>
      <c r="K68" s="27"/>
    </row>
    <row r="69" spans="1:11" ht="16.5" customHeight="1" hidden="1" thickBot="1">
      <c r="A69" s="82"/>
      <c r="B69" s="8" t="s">
        <v>21</v>
      </c>
      <c r="C69" s="108"/>
      <c r="D69" s="17"/>
      <c r="E69" s="18"/>
      <c r="F69" s="18"/>
      <c r="G69" s="18"/>
      <c r="H69" s="18"/>
      <c r="I69" s="18"/>
      <c r="J69" s="18"/>
      <c r="K69" s="27"/>
    </row>
    <row r="70" spans="1:11" ht="48" customHeight="1" hidden="1" thickBot="1">
      <c r="A70" s="82"/>
      <c r="B70" s="8" t="s">
        <v>20</v>
      </c>
      <c r="C70" s="108"/>
      <c r="D70" s="17"/>
      <c r="E70" s="18"/>
      <c r="F70" s="18"/>
      <c r="G70" s="18"/>
      <c r="H70" s="18"/>
      <c r="I70" s="18"/>
      <c r="J70" s="18"/>
      <c r="K70" s="27"/>
    </row>
    <row r="71" spans="1:11" ht="15.75" thickBot="1">
      <c r="A71" s="82">
        <v>39</v>
      </c>
      <c r="B71" s="8" t="s">
        <v>39</v>
      </c>
      <c r="C71" s="108" t="s">
        <v>171</v>
      </c>
      <c r="D71" s="17">
        <f aca="true" t="shared" si="17" ref="D71:D76">E71+F71+G71+H71+I71+J71</f>
        <v>95962.29999999999</v>
      </c>
      <c r="E71" s="18">
        <f>E103+E112</f>
        <v>5044.8</v>
      </c>
      <c r="F71" s="18">
        <f>F103+F112+F176</f>
        <v>37895</v>
      </c>
      <c r="G71" s="18">
        <f>G103+G112+G188+G91</f>
        <v>24586.199999999997</v>
      </c>
      <c r="H71" s="18">
        <f>H103+H112</f>
        <v>14150.4</v>
      </c>
      <c r="I71" s="18">
        <f>I103+I112</f>
        <v>14285.9</v>
      </c>
      <c r="J71" s="18">
        <f>J103+J112</f>
        <v>0</v>
      </c>
      <c r="K71" s="27"/>
    </row>
    <row r="72" spans="1:11" ht="15.75" thickBot="1">
      <c r="A72" s="82">
        <v>40</v>
      </c>
      <c r="B72" s="8" t="s">
        <v>4</v>
      </c>
      <c r="C72" s="108" t="s">
        <v>171</v>
      </c>
      <c r="D72" s="17">
        <f t="shared" si="17"/>
        <v>896158.1</v>
      </c>
      <c r="E72" s="18">
        <f aca="true" t="shared" si="18" ref="E72:J72">E98+E105+E109+E115+E129+E141+E144+E83+E87+E150+E163+E169+E172+E180</f>
        <v>136227.9</v>
      </c>
      <c r="F72" s="18">
        <f t="shared" si="18"/>
        <v>143852.69999999998</v>
      </c>
      <c r="G72" s="18">
        <f t="shared" si="18"/>
        <v>155974.5</v>
      </c>
      <c r="H72" s="18">
        <f t="shared" si="18"/>
        <v>159490</v>
      </c>
      <c r="I72" s="18">
        <f t="shared" si="18"/>
        <v>162306</v>
      </c>
      <c r="J72" s="18">
        <f t="shared" si="18"/>
        <v>138307</v>
      </c>
      <c r="K72" s="27"/>
    </row>
    <row r="73" spans="1:11" ht="15.75" thickBot="1">
      <c r="A73" s="82">
        <v>41</v>
      </c>
      <c r="B73" s="8" t="s">
        <v>5</v>
      </c>
      <c r="C73" s="108" t="s">
        <v>171</v>
      </c>
      <c r="D73" s="17">
        <f t="shared" si="17"/>
        <v>529393.8999999999</v>
      </c>
      <c r="E73" s="18">
        <f aca="true" t="shared" si="19" ref="E73:J73">E107+E114+E123+E126+E130+E142+E145+E151+E164+E155+E173+E84+E88+E166+E168+E181</f>
        <v>81251.6</v>
      </c>
      <c r="F73" s="18">
        <f>F107+F114+F123+F126+F130+F142+F145+F151+F164+F155+F173+F84+F88+F166+F168+F181+F177</f>
        <v>80820.6</v>
      </c>
      <c r="G73" s="18">
        <f>G107+G114+G123+G126+G130+G142+G145+G151+G164+G155+G173+G84+G88+G166+G168+G181+G177+G185+G189</f>
        <v>115209.9</v>
      </c>
      <c r="H73" s="18">
        <f t="shared" si="19"/>
        <v>85733.1</v>
      </c>
      <c r="I73" s="18">
        <f t="shared" si="19"/>
        <v>88416.8</v>
      </c>
      <c r="J73" s="18">
        <f t="shared" si="19"/>
        <v>77961.9</v>
      </c>
      <c r="K73" s="27"/>
    </row>
    <row r="74" spans="1:11" ht="16.5" customHeight="1" hidden="1" thickBot="1">
      <c r="A74" s="82"/>
      <c r="B74" s="8" t="s">
        <v>6</v>
      </c>
      <c r="C74" s="108"/>
      <c r="D74" s="17">
        <f t="shared" si="17"/>
        <v>0</v>
      </c>
      <c r="E74" s="35"/>
      <c r="F74" s="18"/>
      <c r="G74" s="18"/>
      <c r="H74" s="18"/>
      <c r="I74" s="18"/>
      <c r="J74" s="18"/>
      <c r="K74" s="27"/>
    </row>
    <row r="75" spans="1:11" ht="16.5" customHeight="1" hidden="1" thickBot="1">
      <c r="A75" s="82"/>
      <c r="B75" s="8" t="s">
        <v>10</v>
      </c>
      <c r="C75" s="108"/>
      <c r="D75" s="17">
        <f t="shared" si="17"/>
        <v>0</v>
      </c>
      <c r="E75" s="35"/>
      <c r="F75" s="18"/>
      <c r="G75" s="18"/>
      <c r="H75" s="18"/>
      <c r="I75" s="18"/>
      <c r="J75" s="18"/>
      <c r="K75" s="27"/>
    </row>
    <row r="76" spans="1:11" ht="48" customHeight="1" hidden="1" thickBot="1">
      <c r="A76" s="82"/>
      <c r="B76" s="8" t="s">
        <v>20</v>
      </c>
      <c r="C76" s="108"/>
      <c r="D76" s="17">
        <f t="shared" si="17"/>
        <v>0</v>
      </c>
      <c r="E76" s="35"/>
      <c r="F76" s="18"/>
      <c r="G76" s="18"/>
      <c r="H76" s="18"/>
      <c r="I76" s="18"/>
      <c r="J76" s="18"/>
      <c r="K76" s="27"/>
    </row>
    <row r="77" spans="1:11" ht="48" customHeight="1" thickBot="1">
      <c r="A77" s="85">
        <v>42</v>
      </c>
      <c r="B77" s="97" t="s">
        <v>148</v>
      </c>
      <c r="C77" s="108" t="s">
        <v>171</v>
      </c>
      <c r="D77" s="99">
        <f>D79+D80+D78</f>
        <v>6627.6</v>
      </c>
      <c r="E77" s="99">
        <f aca="true" t="shared" si="20" ref="E77:J77">E79+E80</f>
        <v>1692.9</v>
      </c>
      <c r="F77" s="99">
        <f t="shared" si="20"/>
        <v>476.40000000000003</v>
      </c>
      <c r="G77" s="99">
        <f>G79+G80+G78</f>
        <v>4458.3</v>
      </c>
      <c r="H77" s="99">
        <f t="shared" si="20"/>
        <v>0</v>
      </c>
      <c r="I77" s="99">
        <f t="shared" si="20"/>
        <v>0</v>
      </c>
      <c r="J77" s="99">
        <f t="shared" si="20"/>
        <v>0</v>
      </c>
      <c r="K77" s="27"/>
    </row>
    <row r="78" spans="1:11" ht="15.75" thickBot="1">
      <c r="A78" s="128">
        <v>43</v>
      </c>
      <c r="B78" s="96" t="s">
        <v>39</v>
      </c>
      <c r="C78" s="108" t="s">
        <v>171</v>
      </c>
      <c r="D78" s="99">
        <f>E78+F78+G78+H78+I78+J78</f>
        <v>759.6</v>
      </c>
      <c r="E78" s="99">
        <f aca="true" t="shared" si="21" ref="E78:J80">E86</f>
        <v>0</v>
      </c>
      <c r="F78" s="99">
        <f>F86</f>
        <v>0</v>
      </c>
      <c r="G78" s="99">
        <f>G91</f>
        <v>759.6</v>
      </c>
      <c r="H78" s="99">
        <f t="shared" si="21"/>
        <v>0</v>
      </c>
      <c r="I78" s="99">
        <f t="shared" si="21"/>
        <v>0</v>
      </c>
      <c r="J78" s="99">
        <f t="shared" si="21"/>
        <v>0</v>
      </c>
      <c r="K78" s="27"/>
    </row>
    <row r="79" spans="1:11" ht="15.75" thickBot="1">
      <c r="A79" s="85">
        <v>44</v>
      </c>
      <c r="B79" s="96" t="s">
        <v>4</v>
      </c>
      <c r="C79" s="108" t="s">
        <v>171</v>
      </c>
      <c r="D79" s="99">
        <f>E79+F79+G79+H79+I79+J79</f>
        <v>0</v>
      </c>
      <c r="E79" s="99">
        <f t="shared" si="21"/>
        <v>0</v>
      </c>
      <c r="F79" s="99">
        <f>F87</f>
        <v>0</v>
      </c>
      <c r="G79" s="99">
        <f t="shared" si="21"/>
        <v>0</v>
      </c>
      <c r="H79" s="99">
        <f t="shared" si="21"/>
        <v>0</v>
      </c>
      <c r="I79" s="99">
        <f t="shared" si="21"/>
        <v>0</v>
      </c>
      <c r="J79" s="99">
        <f t="shared" si="21"/>
        <v>0</v>
      </c>
      <c r="K79" s="27"/>
    </row>
    <row r="80" spans="1:11" ht="15.75" thickBot="1">
      <c r="A80" s="85">
        <v>45</v>
      </c>
      <c r="B80" s="96" t="s">
        <v>5</v>
      </c>
      <c r="C80" s="108" t="s">
        <v>171</v>
      </c>
      <c r="D80" s="99">
        <f>E80+F80+G80+H80+I80+J80</f>
        <v>5868</v>
      </c>
      <c r="E80" s="99">
        <f>E84</f>
        <v>1692.9</v>
      </c>
      <c r="F80" s="99">
        <f t="shared" si="21"/>
        <v>476.40000000000003</v>
      </c>
      <c r="G80" s="99">
        <f t="shared" si="21"/>
        <v>3698.7000000000003</v>
      </c>
      <c r="H80" s="99">
        <f t="shared" si="21"/>
        <v>0</v>
      </c>
      <c r="I80" s="99">
        <f t="shared" si="21"/>
        <v>0</v>
      </c>
      <c r="J80" s="99">
        <f t="shared" si="21"/>
        <v>0</v>
      </c>
      <c r="K80" s="27"/>
    </row>
    <row r="81" spans="1:11" s="33" customFormat="1" ht="15.75" customHeight="1" thickBot="1">
      <c r="A81" s="133">
        <v>46</v>
      </c>
      <c r="B81" s="49" t="s">
        <v>59</v>
      </c>
      <c r="C81" s="117"/>
      <c r="D81" s="129">
        <f aca="true" t="shared" si="22" ref="D81:J81">D83+D84</f>
        <v>1692.9</v>
      </c>
      <c r="E81" s="129">
        <f t="shared" si="22"/>
        <v>1692.9</v>
      </c>
      <c r="F81" s="129">
        <f t="shared" si="22"/>
        <v>0</v>
      </c>
      <c r="G81" s="129">
        <f t="shared" si="22"/>
        <v>0</v>
      </c>
      <c r="H81" s="129">
        <f t="shared" si="22"/>
        <v>0</v>
      </c>
      <c r="I81" s="129">
        <f t="shared" si="22"/>
        <v>0</v>
      </c>
      <c r="J81" s="129">
        <f t="shared" si="22"/>
        <v>0</v>
      </c>
      <c r="K81" s="135" t="s">
        <v>154</v>
      </c>
    </row>
    <row r="82" spans="1:11" s="33" customFormat="1" ht="99.75" customHeight="1" thickBot="1">
      <c r="A82" s="134"/>
      <c r="B82" s="52" t="s">
        <v>129</v>
      </c>
      <c r="C82" s="113" t="s">
        <v>171</v>
      </c>
      <c r="D82" s="130"/>
      <c r="E82" s="130"/>
      <c r="F82" s="130"/>
      <c r="G82" s="130"/>
      <c r="H82" s="130"/>
      <c r="I82" s="130"/>
      <c r="J82" s="130"/>
      <c r="K82" s="136"/>
    </row>
    <row r="83" spans="1:11" s="33" customFormat="1" ht="15.75" thickBot="1">
      <c r="A83" s="80">
        <v>47</v>
      </c>
      <c r="B83" s="20" t="s">
        <v>4</v>
      </c>
      <c r="C83" s="116" t="s">
        <v>171</v>
      </c>
      <c r="D83" s="69">
        <f>E83+F83+G83+H83+I83+J83</f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2"/>
    </row>
    <row r="84" spans="1:17" s="33" customFormat="1" ht="21" customHeight="1" thickBot="1">
      <c r="A84" s="80">
        <v>48</v>
      </c>
      <c r="B84" s="20" t="s">
        <v>5</v>
      </c>
      <c r="C84" s="116" t="s">
        <v>171</v>
      </c>
      <c r="D84" s="69">
        <f>E84+F84+G84+H84+I84+J84</f>
        <v>1692.9</v>
      </c>
      <c r="E84" s="35">
        <f>L84+Q84</f>
        <v>1692.9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2"/>
      <c r="L84" s="33">
        <v>1500</v>
      </c>
      <c r="Q84" s="33">
        <v>192.9</v>
      </c>
    </row>
    <row r="85" spans="1:11" s="33" customFormat="1" ht="15.75" customHeight="1" thickBot="1">
      <c r="A85" s="133">
        <v>49</v>
      </c>
      <c r="B85" s="49" t="s">
        <v>143</v>
      </c>
      <c r="C85" s="117"/>
      <c r="D85" s="129">
        <f aca="true" t="shared" si="23" ref="D85:J85">D87+D88</f>
        <v>4175.1</v>
      </c>
      <c r="E85" s="129">
        <f t="shared" si="23"/>
        <v>0</v>
      </c>
      <c r="F85" s="129">
        <f t="shared" si="23"/>
        <v>476.40000000000003</v>
      </c>
      <c r="G85" s="129">
        <f t="shared" si="23"/>
        <v>3698.7000000000003</v>
      </c>
      <c r="H85" s="129">
        <f t="shared" si="23"/>
        <v>0</v>
      </c>
      <c r="I85" s="129">
        <f t="shared" si="23"/>
        <v>0</v>
      </c>
      <c r="J85" s="129">
        <f t="shared" si="23"/>
        <v>0</v>
      </c>
      <c r="K85" s="135" t="s">
        <v>155</v>
      </c>
    </row>
    <row r="86" spans="1:11" s="33" customFormat="1" ht="96.75" customHeight="1" thickBot="1">
      <c r="A86" s="134"/>
      <c r="B86" s="52" t="s">
        <v>144</v>
      </c>
      <c r="C86" s="113" t="s">
        <v>171</v>
      </c>
      <c r="D86" s="130"/>
      <c r="E86" s="130"/>
      <c r="F86" s="130"/>
      <c r="G86" s="130"/>
      <c r="H86" s="130"/>
      <c r="I86" s="130"/>
      <c r="J86" s="130"/>
      <c r="K86" s="136"/>
    </row>
    <row r="87" spans="1:11" s="33" customFormat="1" ht="15.75" hidden="1" thickBot="1">
      <c r="A87" s="80">
        <v>49</v>
      </c>
      <c r="B87" s="20" t="s">
        <v>4</v>
      </c>
      <c r="C87" s="116" t="s">
        <v>171</v>
      </c>
      <c r="D87" s="69">
        <f>E87+F87+G87+H87+I87+J87</f>
        <v>0</v>
      </c>
      <c r="E87" s="35">
        <v>0</v>
      </c>
      <c r="F87" s="35">
        <f>T87</f>
        <v>0</v>
      </c>
      <c r="G87" s="35">
        <v>0</v>
      </c>
      <c r="H87" s="35">
        <v>0</v>
      </c>
      <c r="I87" s="35">
        <v>0</v>
      </c>
      <c r="J87" s="35">
        <v>0</v>
      </c>
      <c r="K87" s="32"/>
    </row>
    <row r="88" spans="1:31" s="33" customFormat="1" ht="21" customHeight="1" thickBot="1">
      <c r="A88" s="80">
        <v>50</v>
      </c>
      <c r="B88" s="20" t="s">
        <v>5</v>
      </c>
      <c r="C88" s="116" t="s">
        <v>171</v>
      </c>
      <c r="D88" s="69">
        <f>E88+F88+G88+H88+I88+J88</f>
        <v>4175.1</v>
      </c>
      <c r="E88" s="35">
        <v>0</v>
      </c>
      <c r="F88" s="35">
        <f>T88+U88+W88-0.1</f>
        <v>476.40000000000003</v>
      </c>
      <c r="G88" s="35">
        <f>3000+Z88+AC88+AE88</f>
        <v>3698.7000000000003</v>
      </c>
      <c r="H88" s="35">
        <v>0</v>
      </c>
      <c r="I88" s="35">
        <v>0</v>
      </c>
      <c r="J88" s="35">
        <v>0</v>
      </c>
      <c r="K88" s="32"/>
      <c r="T88" s="33">
        <v>629.1</v>
      </c>
      <c r="U88" s="33">
        <v>-196.9</v>
      </c>
      <c r="W88" s="33">
        <v>44.3</v>
      </c>
      <c r="Z88" s="33">
        <v>672.8</v>
      </c>
      <c r="AC88" s="33">
        <v>6</v>
      </c>
      <c r="AE88" s="33">
        <v>19.9</v>
      </c>
    </row>
    <row r="89" spans="1:11" s="33" customFormat="1" ht="15.75" customHeight="1" thickBot="1">
      <c r="A89" s="133">
        <v>51</v>
      </c>
      <c r="B89" s="49" t="s">
        <v>175</v>
      </c>
      <c r="C89" s="117"/>
      <c r="D89" s="129">
        <f aca="true" t="shared" si="24" ref="D89:J89">D91+D92</f>
        <v>759.6</v>
      </c>
      <c r="E89" s="129">
        <f t="shared" si="24"/>
        <v>0</v>
      </c>
      <c r="F89" s="129">
        <f t="shared" si="24"/>
        <v>0</v>
      </c>
      <c r="G89" s="129">
        <f t="shared" si="24"/>
        <v>759.6</v>
      </c>
      <c r="H89" s="129">
        <f t="shared" si="24"/>
        <v>0</v>
      </c>
      <c r="I89" s="129">
        <f t="shared" si="24"/>
        <v>0</v>
      </c>
      <c r="J89" s="129">
        <f t="shared" si="24"/>
        <v>0</v>
      </c>
      <c r="K89" s="131" t="s">
        <v>177</v>
      </c>
    </row>
    <row r="90" spans="1:11" s="33" customFormat="1" ht="87" customHeight="1" thickBot="1">
      <c r="A90" s="134"/>
      <c r="B90" s="52" t="s">
        <v>176</v>
      </c>
      <c r="C90" s="113" t="s">
        <v>171</v>
      </c>
      <c r="D90" s="130"/>
      <c r="E90" s="130"/>
      <c r="F90" s="130"/>
      <c r="G90" s="130"/>
      <c r="H90" s="130"/>
      <c r="I90" s="130"/>
      <c r="J90" s="130"/>
      <c r="K90" s="132"/>
    </row>
    <row r="91" spans="1:11" s="33" customFormat="1" ht="15.75" thickBot="1">
      <c r="A91" s="127">
        <v>52</v>
      </c>
      <c r="B91" s="20" t="s">
        <v>39</v>
      </c>
      <c r="C91" s="116" t="s">
        <v>171</v>
      </c>
      <c r="D91" s="69">
        <f>E91+F91+G91+H91+I91+J91</f>
        <v>759.6</v>
      </c>
      <c r="E91" s="35">
        <v>0</v>
      </c>
      <c r="F91" s="35">
        <f>T91</f>
        <v>0</v>
      </c>
      <c r="G91" s="35">
        <v>759.6</v>
      </c>
      <c r="H91" s="35">
        <v>0</v>
      </c>
      <c r="I91" s="35">
        <v>0</v>
      </c>
      <c r="J91" s="35">
        <v>0</v>
      </c>
      <c r="K91" s="32"/>
    </row>
    <row r="92" spans="1:11" s="33" customFormat="1" ht="21" customHeight="1" hidden="1" thickBot="1">
      <c r="A92" s="127"/>
      <c r="B92" s="20"/>
      <c r="C92" s="116"/>
      <c r="D92" s="69"/>
      <c r="E92" s="35"/>
      <c r="F92" s="35"/>
      <c r="G92" s="35"/>
      <c r="H92" s="35"/>
      <c r="I92" s="35"/>
      <c r="J92" s="35"/>
      <c r="K92" s="32"/>
    </row>
    <row r="93" spans="1:11" s="33" customFormat="1" ht="56.25" customHeight="1" thickBot="1">
      <c r="A93" s="86">
        <v>53</v>
      </c>
      <c r="B93" s="96" t="s">
        <v>149</v>
      </c>
      <c r="C93" s="116" t="s">
        <v>171</v>
      </c>
      <c r="D93" s="100">
        <f>D94+D95+D96</f>
        <v>1514886.7</v>
      </c>
      <c r="E93" s="100">
        <f aca="true" t="shared" si="25" ref="E93:J93">E94+E95+E96</f>
        <v>220831.4</v>
      </c>
      <c r="F93" s="100">
        <f>F94+F95+F96</f>
        <v>262091.9</v>
      </c>
      <c r="G93" s="100">
        <f t="shared" si="25"/>
        <v>291312.3</v>
      </c>
      <c r="H93" s="100">
        <f t="shared" si="25"/>
        <v>259373.5</v>
      </c>
      <c r="I93" s="100">
        <f t="shared" si="25"/>
        <v>265008.7</v>
      </c>
      <c r="J93" s="100">
        <f t="shared" si="25"/>
        <v>216268.9</v>
      </c>
      <c r="K93" s="32"/>
    </row>
    <row r="94" spans="1:11" s="33" customFormat="1" ht="21" customHeight="1" thickBot="1">
      <c r="A94" s="86">
        <v>54</v>
      </c>
      <c r="B94" s="96" t="s">
        <v>39</v>
      </c>
      <c r="C94" s="116" t="s">
        <v>171</v>
      </c>
      <c r="D94" s="100">
        <f>E94+F94+G94+H94+I94+J94</f>
        <v>95202.69999999998</v>
      </c>
      <c r="E94" s="100">
        <f aca="true" t="shared" si="26" ref="E94:J94">E71-E78</f>
        <v>5044.8</v>
      </c>
      <c r="F94" s="100">
        <f t="shared" si="26"/>
        <v>37895</v>
      </c>
      <c r="G94" s="100">
        <f t="shared" si="26"/>
        <v>23826.6</v>
      </c>
      <c r="H94" s="100">
        <f t="shared" si="26"/>
        <v>14150.4</v>
      </c>
      <c r="I94" s="100">
        <f t="shared" si="26"/>
        <v>14285.9</v>
      </c>
      <c r="J94" s="100">
        <f t="shared" si="26"/>
        <v>0</v>
      </c>
      <c r="K94" s="32"/>
    </row>
    <row r="95" spans="1:11" s="33" customFormat="1" ht="15.75" thickBot="1">
      <c r="A95" s="86">
        <v>55</v>
      </c>
      <c r="B95" s="104" t="s">
        <v>4</v>
      </c>
      <c r="C95" s="116" t="s">
        <v>171</v>
      </c>
      <c r="D95" s="100">
        <f>E95+F95+G95+H95+I95+J95</f>
        <v>896158.1</v>
      </c>
      <c r="E95" s="100">
        <f aca="true" t="shared" si="27" ref="E95:J96">E72-E79</f>
        <v>136227.9</v>
      </c>
      <c r="F95" s="100">
        <f t="shared" si="27"/>
        <v>143852.69999999998</v>
      </c>
      <c r="G95" s="100">
        <f>G72-G79</f>
        <v>155974.5</v>
      </c>
      <c r="H95" s="100">
        <f t="shared" si="27"/>
        <v>159490</v>
      </c>
      <c r="I95" s="100">
        <f t="shared" si="27"/>
        <v>162306</v>
      </c>
      <c r="J95" s="100">
        <f t="shared" si="27"/>
        <v>138307</v>
      </c>
      <c r="K95" s="32"/>
    </row>
    <row r="96" spans="1:23" s="33" customFormat="1" ht="21" customHeight="1" thickBot="1">
      <c r="A96" s="86">
        <v>56</v>
      </c>
      <c r="B96" s="104" t="s">
        <v>5</v>
      </c>
      <c r="C96" s="116" t="s">
        <v>171</v>
      </c>
      <c r="D96" s="100">
        <f>E96+F96+G96+H96+I96+J96</f>
        <v>523525.9</v>
      </c>
      <c r="E96" s="100">
        <f t="shared" si="27"/>
        <v>79558.70000000001</v>
      </c>
      <c r="F96" s="100">
        <f t="shared" si="27"/>
        <v>80344.20000000001</v>
      </c>
      <c r="G96" s="100">
        <f t="shared" si="27"/>
        <v>111511.2</v>
      </c>
      <c r="H96" s="100">
        <f t="shared" si="27"/>
        <v>85733.1</v>
      </c>
      <c r="I96" s="100">
        <f t="shared" si="27"/>
        <v>88416.8</v>
      </c>
      <c r="J96" s="100">
        <f t="shared" si="27"/>
        <v>77961.9</v>
      </c>
      <c r="K96" s="32"/>
      <c r="T96" s="33">
        <v>629.1</v>
      </c>
      <c r="U96" s="33">
        <v>-196.9</v>
      </c>
      <c r="W96" s="33">
        <v>44.3</v>
      </c>
    </row>
    <row r="97" spans="1:11" ht="177.75" customHeight="1" thickBot="1">
      <c r="A97" s="82">
        <v>57</v>
      </c>
      <c r="B97" s="51" t="s">
        <v>132</v>
      </c>
      <c r="C97" s="111" t="s">
        <v>171</v>
      </c>
      <c r="D97" s="17">
        <f>D98</f>
        <v>845902.3999999999</v>
      </c>
      <c r="E97" s="17">
        <f aca="true" t="shared" si="28" ref="E97:J97">E98</f>
        <v>126962</v>
      </c>
      <c r="F97" s="17">
        <f t="shared" si="28"/>
        <v>135150.69999999998</v>
      </c>
      <c r="G97" s="17">
        <f t="shared" si="28"/>
        <v>145985.5</v>
      </c>
      <c r="H97" s="17">
        <f t="shared" si="28"/>
        <v>150270.7</v>
      </c>
      <c r="I97" s="17">
        <f t="shared" si="28"/>
        <v>152719</v>
      </c>
      <c r="J97" s="17">
        <f t="shared" si="28"/>
        <v>134814.5</v>
      </c>
      <c r="K97" s="9" t="s">
        <v>77</v>
      </c>
    </row>
    <row r="98" spans="1:31" ht="15.75" thickBot="1">
      <c r="A98" s="82">
        <v>58</v>
      </c>
      <c r="B98" s="8" t="s">
        <v>4</v>
      </c>
      <c r="C98" s="108" t="s">
        <v>171</v>
      </c>
      <c r="D98" s="17">
        <f>E98+F98+G98+H98+I98+J98</f>
        <v>845902.3999999999</v>
      </c>
      <c r="E98" s="18">
        <f>127312+M98+R98</f>
        <v>126962</v>
      </c>
      <c r="F98" s="18">
        <f>130833.1+S98+U98+2034.9</f>
        <v>135150.69999999998</v>
      </c>
      <c r="G98" s="18">
        <f>143577.7+AE98</f>
        <v>145985.5</v>
      </c>
      <c r="H98" s="18">
        <v>150270.7</v>
      </c>
      <c r="I98" s="18">
        <v>152719</v>
      </c>
      <c r="J98" s="18">
        <v>134814.5</v>
      </c>
      <c r="K98" s="27"/>
      <c r="M98">
        <v>1650</v>
      </c>
      <c r="R98">
        <v>-2000</v>
      </c>
      <c r="S98">
        <v>-0.1</v>
      </c>
      <c r="U98">
        <v>2282.8</v>
      </c>
      <c r="AE98">
        <f>55+2352.8</f>
        <v>2407.8</v>
      </c>
    </row>
    <row r="99" spans="1:11" ht="16.5" customHeight="1" hidden="1" thickBot="1">
      <c r="A99" s="82"/>
      <c r="B99" s="8" t="s">
        <v>21</v>
      </c>
      <c r="C99" s="108"/>
      <c r="D99" s="17"/>
      <c r="E99" s="18"/>
      <c r="F99" s="18"/>
      <c r="G99" s="18"/>
      <c r="H99" s="18"/>
      <c r="I99" s="18"/>
      <c r="J99" s="18"/>
      <c r="K99" s="27"/>
    </row>
    <row r="100" spans="1:11" ht="48" customHeight="1" hidden="1" thickBot="1">
      <c r="A100" s="82"/>
      <c r="B100" s="8" t="s">
        <v>20</v>
      </c>
      <c r="C100" s="108"/>
      <c r="D100" s="17"/>
      <c r="E100" s="18"/>
      <c r="F100" s="18"/>
      <c r="G100" s="18"/>
      <c r="H100" s="18"/>
      <c r="I100" s="18"/>
      <c r="J100" s="18"/>
      <c r="K100" s="27"/>
    </row>
    <row r="101" spans="1:11" s="33" customFormat="1" ht="15.75" customHeight="1" thickBot="1">
      <c r="A101" s="133">
        <v>59</v>
      </c>
      <c r="B101" s="49" t="s">
        <v>133</v>
      </c>
      <c r="C101" s="117"/>
      <c r="D101" s="129">
        <f>D103+D107</f>
        <v>504657.3</v>
      </c>
      <c r="E101" s="129">
        <f aca="true" t="shared" si="29" ref="E101:J101">E103</f>
        <v>3144.3</v>
      </c>
      <c r="F101" s="129">
        <f t="shared" si="29"/>
        <v>9433</v>
      </c>
      <c r="G101" s="129">
        <f t="shared" si="29"/>
        <v>9493</v>
      </c>
      <c r="H101" s="129">
        <f t="shared" si="29"/>
        <v>9433</v>
      </c>
      <c r="I101" s="129">
        <f t="shared" si="29"/>
        <v>9433</v>
      </c>
      <c r="J101" s="129">
        <f t="shared" si="29"/>
        <v>0</v>
      </c>
      <c r="K101" s="131" t="s">
        <v>172</v>
      </c>
    </row>
    <row r="102" spans="1:11" s="33" customFormat="1" ht="51.75" customHeight="1" thickBot="1">
      <c r="A102" s="134"/>
      <c r="B102" s="52" t="s">
        <v>130</v>
      </c>
      <c r="C102" s="113" t="s">
        <v>171</v>
      </c>
      <c r="D102" s="130"/>
      <c r="E102" s="130"/>
      <c r="F102" s="130"/>
      <c r="G102" s="130"/>
      <c r="H102" s="130"/>
      <c r="I102" s="130"/>
      <c r="J102" s="130"/>
      <c r="K102" s="132"/>
    </row>
    <row r="103" spans="1:31" s="33" customFormat="1" ht="15.75" thickBot="1">
      <c r="A103" s="80">
        <v>60</v>
      </c>
      <c r="B103" s="20" t="s">
        <v>39</v>
      </c>
      <c r="C103" s="116" t="s">
        <v>171</v>
      </c>
      <c r="D103" s="69">
        <f>E103+F103+G103+H103+I103+J103</f>
        <v>40936.3</v>
      </c>
      <c r="E103" s="35">
        <f>P103+R103</f>
        <v>3144.3</v>
      </c>
      <c r="F103" s="35">
        <v>9433</v>
      </c>
      <c r="G103" s="35">
        <f>9433+AE103</f>
        <v>9493</v>
      </c>
      <c r="H103" s="35">
        <v>9433</v>
      </c>
      <c r="I103" s="35">
        <v>9433</v>
      </c>
      <c r="J103" s="35">
        <v>0</v>
      </c>
      <c r="K103" s="32"/>
      <c r="P103" s="33">
        <v>3413.8</v>
      </c>
      <c r="R103" s="33">
        <v>-269.5</v>
      </c>
      <c r="AE103" s="33">
        <v>60</v>
      </c>
    </row>
    <row r="104" spans="1:11" ht="193.5" customHeight="1" thickBot="1">
      <c r="A104" s="82">
        <v>59</v>
      </c>
      <c r="B104" s="51" t="s">
        <v>111</v>
      </c>
      <c r="C104" s="111" t="s">
        <v>171</v>
      </c>
      <c r="D104" s="17">
        <f>D105</f>
        <v>21267.4</v>
      </c>
      <c r="E104" s="17">
        <f aca="true" t="shared" si="30" ref="E104:J104">E105</f>
        <v>3099</v>
      </c>
      <c r="F104" s="17">
        <f t="shared" si="30"/>
        <v>3741.1</v>
      </c>
      <c r="G104" s="17">
        <f t="shared" si="30"/>
        <v>3810.5</v>
      </c>
      <c r="H104" s="17">
        <f t="shared" si="30"/>
        <v>3492.3</v>
      </c>
      <c r="I104" s="17">
        <f t="shared" si="30"/>
        <v>3632</v>
      </c>
      <c r="J104" s="17">
        <f t="shared" si="30"/>
        <v>3492.5</v>
      </c>
      <c r="K104" s="32" t="s">
        <v>78</v>
      </c>
    </row>
    <row r="105" spans="1:31" ht="15.75" thickBot="1">
      <c r="A105" s="82">
        <v>60</v>
      </c>
      <c r="B105" s="8" t="s">
        <v>4</v>
      </c>
      <c r="C105" s="108" t="s">
        <v>171</v>
      </c>
      <c r="D105" s="17">
        <f>E105+F105+G105+H105+I105+J105</f>
        <v>21267.4</v>
      </c>
      <c r="E105" s="18">
        <v>3099</v>
      </c>
      <c r="F105" s="18">
        <f>3228.9+S105+U105</f>
        <v>3741.1</v>
      </c>
      <c r="G105" s="18">
        <f>3358+AD105+AE105</f>
        <v>3810.5</v>
      </c>
      <c r="H105" s="18">
        <v>3492.3</v>
      </c>
      <c r="I105" s="18">
        <v>3632</v>
      </c>
      <c r="J105" s="18">
        <v>3492.5</v>
      </c>
      <c r="K105" s="27"/>
      <c r="P105">
        <v>0</v>
      </c>
      <c r="S105">
        <v>0.1</v>
      </c>
      <c r="U105">
        <v>512.1</v>
      </c>
      <c r="AD105">
        <v>507.5</v>
      </c>
      <c r="AE105">
        <v>-55</v>
      </c>
    </row>
    <row r="106" spans="1:11" ht="64.5" customHeight="1" thickBot="1">
      <c r="A106" s="82">
        <v>61</v>
      </c>
      <c r="B106" s="53" t="s">
        <v>112</v>
      </c>
      <c r="C106" s="118" t="s">
        <v>171</v>
      </c>
      <c r="D106" s="17">
        <f aca="true" t="shared" si="31" ref="D106:J106">D107</f>
        <v>463721</v>
      </c>
      <c r="E106" s="17">
        <f t="shared" si="31"/>
        <v>74602.9</v>
      </c>
      <c r="F106" s="17">
        <f t="shared" si="31"/>
        <v>73375.90000000002</v>
      </c>
      <c r="G106" s="17">
        <f t="shared" si="31"/>
        <v>79844.2</v>
      </c>
      <c r="H106" s="17">
        <f t="shared" si="31"/>
        <v>77153.8</v>
      </c>
      <c r="I106" s="17">
        <f t="shared" si="31"/>
        <v>84253.2</v>
      </c>
      <c r="J106" s="17">
        <f t="shared" si="31"/>
        <v>74491</v>
      </c>
      <c r="K106" s="9" t="s">
        <v>79</v>
      </c>
    </row>
    <row r="107" spans="1:31" ht="15.75" thickBot="1">
      <c r="A107" s="82">
        <v>62</v>
      </c>
      <c r="B107" s="8" t="s">
        <v>5</v>
      </c>
      <c r="C107" s="108" t="s">
        <v>171</v>
      </c>
      <c r="D107" s="17">
        <f>E107+F107+G107+H107+I107+J107</f>
        <v>463721</v>
      </c>
      <c r="E107" s="18">
        <f>75310.4+L107+M107+N107+P107+Q107</f>
        <v>74602.9</v>
      </c>
      <c r="F107" s="18">
        <f>74079.8+T107+U107+V107+W107+X107</f>
        <v>73375.90000000002</v>
      </c>
      <c r="G107" s="18">
        <f>79831+Y107+Z107+AA107+AB107+AC107+0.1+AD107+AE107</f>
        <v>79844.2</v>
      </c>
      <c r="H107" s="18">
        <v>77153.8</v>
      </c>
      <c r="I107" s="18">
        <v>84253.2</v>
      </c>
      <c r="J107" s="18">
        <v>74491</v>
      </c>
      <c r="K107" s="27"/>
      <c r="L107">
        <v>-50</v>
      </c>
      <c r="M107">
        <v>-173.3</v>
      </c>
      <c r="N107">
        <v>-608.2</v>
      </c>
      <c r="P107">
        <v>-78.6</v>
      </c>
      <c r="Q107">
        <v>202.6</v>
      </c>
      <c r="T107">
        <v>3.1</v>
      </c>
      <c r="U107">
        <v>-1123.2</v>
      </c>
      <c r="V107">
        <v>395.1</v>
      </c>
      <c r="W107">
        <v>162</v>
      </c>
      <c r="X107">
        <f>-113.8-27.1</f>
        <v>-140.9</v>
      </c>
      <c r="Y107">
        <v>-219</v>
      </c>
      <c r="Z107">
        <v>29.1</v>
      </c>
      <c r="AA107">
        <v>817.3</v>
      </c>
      <c r="AB107">
        <v>-730</v>
      </c>
      <c r="AC107">
        <v>8.9</v>
      </c>
      <c r="AD107">
        <f>50.8+28.1</f>
        <v>78.9</v>
      </c>
      <c r="AE107">
        <f>237.7-209.8</f>
        <v>27.899999999999977</v>
      </c>
    </row>
    <row r="108" spans="1:24" ht="52.5" customHeight="1" thickBot="1">
      <c r="A108" s="82">
        <v>63</v>
      </c>
      <c r="B108" s="53" t="s">
        <v>134</v>
      </c>
      <c r="C108" s="118" t="s">
        <v>171</v>
      </c>
      <c r="D108" s="17">
        <f>D109</f>
        <v>27808.9</v>
      </c>
      <c r="E108" s="69">
        <f aca="true" t="shared" si="32" ref="E108:J108">E109</f>
        <v>6166.9</v>
      </c>
      <c r="F108" s="17">
        <f t="shared" si="32"/>
        <v>4454</v>
      </c>
      <c r="G108" s="17">
        <f t="shared" si="32"/>
        <v>5506</v>
      </c>
      <c r="H108" s="17">
        <f t="shared" si="32"/>
        <v>5727</v>
      </c>
      <c r="I108" s="17">
        <f t="shared" si="32"/>
        <v>5955</v>
      </c>
      <c r="J108" s="17">
        <f t="shared" si="32"/>
        <v>0</v>
      </c>
      <c r="K108" s="9" t="s">
        <v>156</v>
      </c>
      <c r="X108">
        <v>-472</v>
      </c>
    </row>
    <row r="109" spans="1:18" ht="15.75" thickBot="1">
      <c r="A109" s="82">
        <v>64</v>
      </c>
      <c r="B109" s="8" t="s">
        <v>4</v>
      </c>
      <c r="C109" s="108" t="s">
        <v>171</v>
      </c>
      <c r="D109" s="17">
        <f>E109+F109+G109+H109+I109+J109</f>
        <v>27808.9</v>
      </c>
      <c r="E109" s="18">
        <f>8750+M109+O109+R109</f>
        <v>6166.9</v>
      </c>
      <c r="F109" s="18">
        <f>4926+S109+X108</f>
        <v>4454</v>
      </c>
      <c r="G109" s="18">
        <f>4733+773</f>
        <v>5506</v>
      </c>
      <c r="H109" s="18">
        <v>5727</v>
      </c>
      <c r="I109" s="18">
        <v>5955</v>
      </c>
      <c r="J109" s="18">
        <v>0</v>
      </c>
      <c r="K109" s="27"/>
      <c r="M109">
        <v>-670</v>
      </c>
      <c r="O109">
        <v>-1286</v>
      </c>
      <c r="R109">
        <v>-627.1</v>
      </c>
    </row>
    <row r="110" spans="1:11" s="33" customFormat="1" ht="15.75" customHeight="1" thickBot="1">
      <c r="A110" s="133">
        <v>65</v>
      </c>
      <c r="B110" s="49" t="s">
        <v>135</v>
      </c>
      <c r="C110" s="117"/>
      <c r="D110" s="129">
        <f>D112+D193</f>
        <v>170487.10000000003</v>
      </c>
      <c r="E110" s="129">
        <f aca="true" t="shared" si="33" ref="E110:J110">E112</f>
        <v>1900.5</v>
      </c>
      <c r="F110" s="129">
        <f t="shared" si="33"/>
        <v>3271.8</v>
      </c>
      <c r="G110" s="129">
        <f t="shared" si="33"/>
        <v>4961.1</v>
      </c>
      <c r="H110" s="129">
        <f t="shared" si="33"/>
        <v>4717.4</v>
      </c>
      <c r="I110" s="129">
        <f t="shared" si="33"/>
        <v>4852.9</v>
      </c>
      <c r="J110" s="129">
        <f t="shared" si="33"/>
        <v>0</v>
      </c>
      <c r="K110" s="135" t="s">
        <v>156</v>
      </c>
    </row>
    <row r="111" spans="1:11" s="33" customFormat="1" ht="69" customHeight="1" thickBot="1">
      <c r="A111" s="134"/>
      <c r="B111" s="52" t="s">
        <v>131</v>
      </c>
      <c r="C111" s="113" t="s">
        <v>171</v>
      </c>
      <c r="D111" s="130"/>
      <c r="E111" s="130"/>
      <c r="F111" s="130"/>
      <c r="G111" s="130"/>
      <c r="H111" s="130"/>
      <c r="I111" s="130"/>
      <c r="J111" s="130"/>
      <c r="K111" s="136"/>
    </row>
    <row r="112" spans="1:16" s="33" customFormat="1" ht="15.75" thickBot="1">
      <c r="A112" s="80">
        <v>66</v>
      </c>
      <c r="B112" s="20" t="s">
        <v>39</v>
      </c>
      <c r="C112" s="116" t="s">
        <v>171</v>
      </c>
      <c r="D112" s="69">
        <f>E112+F112+G112+H112+I112+J112</f>
        <v>19703.7</v>
      </c>
      <c r="E112" s="35">
        <f>P112</f>
        <v>1900.5</v>
      </c>
      <c r="F112" s="35">
        <f>4771.8-1500</f>
        <v>3271.8</v>
      </c>
      <c r="G112" s="35">
        <v>4961.1</v>
      </c>
      <c r="H112" s="35">
        <v>4717.4</v>
      </c>
      <c r="I112" s="35">
        <v>4852.9</v>
      </c>
      <c r="J112" s="35">
        <v>0</v>
      </c>
      <c r="K112" s="32"/>
      <c r="P112" s="33">
        <v>1900.5</v>
      </c>
    </row>
    <row r="113" spans="1:11" ht="117.75" customHeight="1" thickBot="1">
      <c r="A113" s="82">
        <v>67</v>
      </c>
      <c r="B113" s="51" t="s">
        <v>113</v>
      </c>
      <c r="C113" s="111" t="s">
        <v>171</v>
      </c>
      <c r="D113" s="17">
        <f aca="true" t="shared" si="34" ref="D113:J113">D114+D115</f>
        <v>16265.5</v>
      </c>
      <c r="E113" s="17">
        <f t="shared" si="34"/>
        <v>1520.8000000000006</v>
      </c>
      <c r="F113" s="17">
        <f t="shared" si="34"/>
        <v>2322.7</v>
      </c>
      <c r="G113" s="17">
        <f t="shared" si="34"/>
        <v>2217.2000000000003</v>
      </c>
      <c r="H113" s="17">
        <f t="shared" si="34"/>
        <v>3379.3</v>
      </c>
      <c r="I113" s="17">
        <f t="shared" si="34"/>
        <v>3514.6</v>
      </c>
      <c r="J113" s="17">
        <f t="shared" si="34"/>
        <v>3310.9</v>
      </c>
      <c r="K113" s="27" t="s">
        <v>157</v>
      </c>
    </row>
    <row r="114" spans="1:31" ht="15.75" thickBot="1">
      <c r="A114" s="82">
        <v>68</v>
      </c>
      <c r="B114" s="8" t="s">
        <v>11</v>
      </c>
      <c r="C114" s="108" t="s">
        <v>171</v>
      </c>
      <c r="D114" s="17">
        <f>E114+F114+G114+H114+I114+J114</f>
        <v>16265.5</v>
      </c>
      <c r="E114" s="18">
        <f>E117+E120</f>
        <v>1520.8000000000006</v>
      </c>
      <c r="F114" s="18">
        <f>F120+F117+T114+W114</f>
        <v>2322.7</v>
      </c>
      <c r="G114" s="18">
        <f>G120+G117+AE114</f>
        <v>2217.2000000000003</v>
      </c>
      <c r="H114" s="18">
        <f>H120+H117</f>
        <v>3379.3</v>
      </c>
      <c r="I114" s="18">
        <f>I120+I117</f>
        <v>3514.6</v>
      </c>
      <c r="J114" s="18">
        <f>J120+J117</f>
        <v>3310.9</v>
      </c>
      <c r="K114" s="27"/>
      <c r="W114">
        <v>-99.6</v>
      </c>
      <c r="AA114">
        <v>-104.5</v>
      </c>
      <c r="AE114">
        <v>-193.7</v>
      </c>
    </row>
    <row r="115" spans="1:11" ht="15.75" thickBot="1">
      <c r="A115" s="82">
        <v>69</v>
      </c>
      <c r="B115" s="8" t="s">
        <v>22</v>
      </c>
      <c r="C115" s="108" t="s">
        <v>171</v>
      </c>
      <c r="D115" s="17">
        <f>E115+F115+G115+H115+I115+J115</f>
        <v>0</v>
      </c>
      <c r="E115" s="35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27"/>
    </row>
    <row r="116" spans="1:11" s="33" customFormat="1" ht="68.25" customHeight="1" thickBot="1">
      <c r="A116" s="80">
        <v>70</v>
      </c>
      <c r="B116" s="53" t="s">
        <v>114</v>
      </c>
      <c r="C116" s="118" t="s">
        <v>171</v>
      </c>
      <c r="D116" s="69">
        <f aca="true" t="shared" si="35" ref="D116:J116">D117+D118</f>
        <v>16558.8</v>
      </c>
      <c r="E116" s="69">
        <f t="shared" si="35"/>
        <v>1520.8000000000006</v>
      </c>
      <c r="F116" s="69">
        <f t="shared" si="35"/>
        <v>2422.2999999999997</v>
      </c>
      <c r="G116" s="69">
        <f t="shared" si="35"/>
        <v>2410.9</v>
      </c>
      <c r="H116" s="69">
        <f t="shared" si="35"/>
        <v>3379.3</v>
      </c>
      <c r="I116" s="69">
        <f t="shared" si="35"/>
        <v>3514.6</v>
      </c>
      <c r="J116" s="69">
        <f t="shared" si="35"/>
        <v>3310.9</v>
      </c>
      <c r="K116" s="27" t="s">
        <v>157</v>
      </c>
    </row>
    <row r="117" spans="1:30" s="33" customFormat="1" ht="15.75" thickBot="1">
      <c r="A117" s="80">
        <v>71</v>
      </c>
      <c r="B117" s="20" t="s">
        <v>11</v>
      </c>
      <c r="C117" s="116" t="s">
        <v>171</v>
      </c>
      <c r="D117" s="69">
        <f>E117+F117+G117+H117+I117+J117</f>
        <v>16558.8</v>
      </c>
      <c r="E117" s="35">
        <f>2480.8+L117+M117+N117+P117+Q117+R117</f>
        <v>1520.8000000000006</v>
      </c>
      <c r="F117" s="35">
        <f>2830.2+U117+T117+V117</f>
        <v>2422.2999999999997</v>
      </c>
      <c r="G117" s="35">
        <v>2410.9</v>
      </c>
      <c r="H117" s="35">
        <v>3379.3</v>
      </c>
      <c r="I117" s="35">
        <v>3514.6</v>
      </c>
      <c r="J117" s="35">
        <v>3310.9</v>
      </c>
      <c r="K117" s="32"/>
      <c r="L117" s="33">
        <v>-41</v>
      </c>
      <c r="M117" s="33">
        <v>-67.1</v>
      </c>
      <c r="N117" s="33">
        <v>-246.7</v>
      </c>
      <c r="P117" s="33">
        <v>-284.6</v>
      </c>
      <c r="Q117" s="33">
        <v>-260.1</v>
      </c>
      <c r="R117" s="33">
        <v>-60.5</v>
      </c>
      <c r="T117" s="33">
        <v>-287.4</v>
      </c>
      <c r="U117" s="33">
        <v>-29.5</v>
      </c>
      <c r="V117" s="33">
        <v>-91</v>
      </c>
      <c r="Y117" s="33">
        <v>-65.3</v>
      </c>
      <c r="Z117" s="33">
        <v>-636.4</v>
      </c>
      <c r="AD117" s="33">
        <v>-28.1</v>
      </c>
    </row>
    <row r="118" spans="1:11" s="33" customFormat="1" ht="15.75" thickBot="1">
      <c r="A118" s="80">
        <v>72</v>
      </c>
      <c r="B118" s="20" t="s">
        <v>22</v>
      </c>
      <c r="C118" s="116" t="s">
        <v>171</v>
      </c>
      <c r="D118" s="69">
        <f>E118+F118+G118+H118+I118+J118</f>
        <v>0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2"/>
    </row>
    <row r="119" spans="1:11" s="33" customFormat="1" ht="95.25" customHeight="1" thickBot="1">
      <c r="A119" s="80">
        <v>73</v>
      </c>
      <c r="B119" s="53" t="s">
        <v>115</v>
      </c>
      <c r="C119" s="118" t="s">
        <v>171</v>
      </c>
      <c r="D119" s="69">
        <f aca="true" t="shared" si="36" ref="D119:J119">D120+D121</f>
        <v>0</v>
      </c>
      <c r="E119" s="69">
        <f t="shared" si="36"/>
        <v>0</v>
      </c>
      <c r="F119" s="69">
        <f t="shared" si="36"/>
        <v>0</v>
      </c>
      <c r="G119" s="69">
        <f t="shared" si="36"/>
        <v>0</v>
      </c>
      <c r="H119" s="69">
        <f t="shared" si="36"/>
        <v>0</v>
      </c>
      <c r="I119" s="69">
        <f t="shared" si="36"/>
        <v>0</v>
      </c>
      <c r="J119" s="69">
        <f t="shared" si="36"/>
        <v>0</v>
      </c>
      <c r="K119" s="27" t="s">
        <v>157</v>
      </c>
    </row>
    <row r="120" spans="1:11" s="33" customFormat="1" ht="15.75" thickBot="1">
      <c r="A120" s="80">
        <v>74</v>
      </c>
      <c r="B120" s="20" t="s">
        <v>11</v>
      </c>
      <c r="C120" s="116" t="s">
        <v>171</v>
      </c>
      <c r="D120" s="69">
        <f>E120+F120+G120+H120+I120+J120</f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2"/>
    </row>
    <row r="121" spans="1:11" s="33" customFormat="1" ht="15.75" thickBot="1">
      <c r="A121" s="80">
        <v>75</v>
      </c>
      <c r="B121" s="20" t="s">
        <v>22</v>
      </c>
      <c r="C121" s="116" t="s">
        <v>171</v>
      </c>
      <c r="D121" s="69">
        <f>E121+F121+G121+H121+I121+J121</f>
        <v>0</v>
      </c>
      <c r="E121" s="35">
        <v>0</v>
      </c>
      <c r="F121" s="69">
        <v>0</v>
      </c>
      <c r="G121" s="69">
        <v>0</v>
      </c>
      <c r="H121" s="69">
        <v>0</v>
      </c>
      <c r="I121" s="69">
        <v>0</v>
      </c>
      <c r="J121" s="69">
        <v>0</v>
      </c>
      <c r="K121" s="32"/>
    </row>
    <row r="122" spans="1:11" s="33" customFormat="1" ht="47.25" thickBot="1">
      <c r="A122" s="80">
        <v>76</v>
      </c>
      <c r="B122" s="20" t="s">
        <v>29</v>
      </c>
      <c r="C122" s="116" t="s">
        <v>171</v>
      </c>
      <c r="D122" s="69">
        <f>D123</f>
        <v>0</v>
      </c>
      <c r="E122" s="69">
        <f aca="true" t="shared" si="37" ref="E122:J122">E123</f>
        <v>0</v>
      </c>
      <c r="F122" s="69">
        <f t="shared" si="37"/>
        <v>0</v>
      </c>
      <c r="G122" s="69">
        <f t="shared" si="37"/>
        <v>0</v>
      </c>
      <c r="H122" s="69">
        <f t="shared" si="37"/>
        <v>0</v>
      </c>
      <c r="I122" s="69">
        <f t="shared" si="37"/>
        <v>0</v>
      </c>
      <c r="J122" s="69">
        <f t="shared" si="37"/>
        <v>0</v>
      </c>
      <c r="K122" s="32" t="s">
        <v>81</v>
      </c>
    </row>
    <row r="123" spans="1:11" s="33" customFormat="1" ht="15.75" thickBot="1">
      <c r="A123" s="80">
        <v>77</v>
      </c>
      <c r="B123" s="20" t="s">
        <v>11</v>
      </c>
      <c r="C123" s="116" t="s">
        <v>171</v>
      </c>
      <c r="D123" s="69">
        <f>E123+F123+G123+H123+I123+J123</f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2"/>
    </row>
    <row r="124" spans="1:11" ht="15">
      <c r="A124" s="159">
        <v>78</v>
      </c>
      <c r="B124" s="12" t="s">
        <v>12</v>
      </c>
      <c r="C124" s="112"/>
      <c r="D124" s="155">
        <f>D126</f>
        <v>0</v>
      </c>
      <c r="E124" s="155">
        <f aca="true" t="shared" si="38" ref="E124:J124">E126</f>
        <v>0</v>
      </c>
      <c r="F124" s="155">
        <f t="shared" si="38"/>
        <v>0</v>
      </c>
      <c r="G124" s="155">
        <f t="shared" si="38"/>
        <v>0</v>
      </c>
      <c r="H124" s="155">
        <f t="shared" si="38"/>
        <v>0</v>
      </c>
      <c r="I124" s="155">
        <f t="shared" si="38"/>
        <v>0</v>
      </c>
      <c r="J124" s="155">
        <f t="shared" si="38"/>
        <v>0</v>
      </c>
      <c r="K124" s="157" t="s">
        <v>82</v>
      </c>
    </row>
    <row r="125" spans="1:11" ht="48.75" customHeight="1" thickBot="1">
      <c r="A125" s="160"/>
      <c r="B125" s="52" t="s">
        <v>116</v>
      </c>
      <c r="C125" s="113" t="s">
        <v>171</v>
      </c>
      <c r="D125" s="156"/>
      <c r="E125" s="156"/>
      <c r="F125" s="156"/>
      <c r="G125" s="156"/>
      <c r="H125" s="156"/>
      <c r="I125" s="156"/>
      <c r="J125" s="156"/>
      <c r="K125" s="158"/>
    </row>
    <row r="126" spans="1:11" ht="15.75" thickBot="1">
      <c r="A126" s="82">
        <v>79</v>
      </c>
      <c r="B126" s="8" t="s">
        <v>5</v>
      </c>
      <c r="C126" s="108" t="s">
        <v>171</v>
      </c>
      <c r="D126" s="17">
        <f>E126+F126+G126+H126+I126+J126</f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27"/>
    </row>
    <row r="127" spans="1:11" ht="15.75" customHeight="1">
      <c r="A127" s="159">
        <v>80</v>
      </c>
      <c r="B127" s="12" t="s">
        <v>13</v>
      </c>
      <c r="C127" s="112"/>
      <c r="D127" s="155">
        <f aca="true" t="shared" si="39" ref="D127:J127">D129+D130</f>
        <v>11505.499999999998</v>
      </c>
      <c r="E127" s="155">
        <f t="shared" si="39"/>
        <v>839.8</v>
      </c>
      <c r="F127" s="155">
        <f t="shared" si="39"/>
        <v>269</v>
      </c>
      <c r="G127" s="155">
        <f t="shared" si="39"/>
        <v>10396.699999999999</v>
      </c>
      <c r="H127" s="155">
        <f t="shared" si="39"/>
        <v>0</v>
      </c>
      <c r="I127" s="155">
        <f t="shared" si="39"/>
        <v>0</v>
      </c>
      <c r="J127" s="155">
        <f t="shared" si="39"/>
        <v>0</v>
      </c>
      <c r="K127" s="135" t="s">
        <v>158</v>
      </c>
    </row>
    <row r="128" spans="1:11" ht="66" customHeight="1" thickBot="1">
      <c r="A128" s="160"/>
      <c r="B128" s="50" t="s">
        <v>117</v>
      </c>
      <c r="C128" s="114" t="s">
        <v>171</v>
      </c>
      <c r="D128" s="156"/>
      <c r="E128" s="156"/>
      <c r="F128" s="156"/>
      <c r="G128" s="156"/>
      <c r="H128" s="156"/>
      <c r="I128" s="156"/>
      <c r="J128" s="156"/>
      <c r="K128" s="136"/>
    </row>
    <row r="129" spans="1:11" ht="15.75" thickBot="1">
      <c r="A129" s="82">
        <v>81</v>
      </c>
      <c r="B129" s="8" t="s">
        <v>4</v>
      </c>
      <c r="C129" s="108" t="s">
        <v>171</v>
      </c>
      <c r="D129" s="17">
        <f>E129+F129+G129+H129+I129+J129</f>
        <v>0</v>
      </c>
      <c r="E129" s="35">
        <f>E133+E137</f>
        <v>0</v>
      </c>
      <c r="F129" s="18">
        <f>F133+F137</f>
        <v>0</v>
      </c>
      <c r="G129" s="18">
        <v>0</v>
      </c>
      <c r="H129" s="18">
        <v>0</v>
      </c>
      <c r="I129" s="18">
        <v>0</v>
      </c>
      <c r="J129" s="18">
        <v>0</v>
      </c>
      <c r="K129" s="27"/>
    </row>
    <row r="130" spans="1:11" ht="21" customHeight="1" thickBot="1">
      <c r="A130" s="82">
        <v>82</v>
      </c>
      <c r="B130" s="8" t="s">
        <v>5</v>
      </c>
      <c r="C130" s="108" t="s">
        <v>171</v>
      </c>
      <c r="D130" s="17">
        <f>E130+F130+G130+H130+I130+J130</f>
        <v>11505.499999999998</v>
      </c>
      <c r="E130" s="35">
        <f>E134+E138</f>
        <v>839.8</v>
      </c>
      <c r="F130" s="35">
        <f>F134+F138</f>
        <v>269</v>
      </c>
      <c r="G130" s="18">
        <f>G134+G138</f>
        <v>10396.699999999999</v>
      </c>
      <c r="H130" s="18">
        <f>H134+H138</f>
        <v>0</v>
      </c>
      <c r="I130" s="18">
        <f>I134+I138</f>
        <v>0</v>
      </c>
      <c r="J130" s="18">
        <f>J134+J138</f>
        <v>0</v>
      </c>
      <c r="K130" s="27"/>
    </row>
    <row r="131" spans="1:11" s="33" customFormat="1" ht="15.75" customHeight="1">
      <c r="A131" s="133">
        <v>83</v>
      </c>
      <c r="B131" s="25" t="s">
        <v>33</v>
      </c>
      <c r="C131" s="115"/>
      <c r="D131" s="129">
        <f aca="true" t="shared" si="40" ref="D131:J131">D133+D134</f>
        <v>11505.499999999998</v>
      </c>
      <c r="E131" s="129">
        <f t="shared" si="40"/>
        <v>839.8</v>
      </c>
      <c r="F131" s="129">
        <f t="shared" si="40"/>
        <v>269</v>
      </c>
      <c r="G131" s="129">
        <f t="shared" si="40"/>
        <v>10396.699999999999</v>
      </c>
      <c r="H131" s="129">
        <f t="shared" si="40"/>
        <v>0</v>
      </c>
      <c r="I131" s="129">
        <f t="shared" si="40"/>
        <v>0</v>
      </c>
      <c r="J131" s="129">
        <f t="shared" si="40"/>
        <v>0</v>
      </c>
      <c r="K131" s="135" t="s">
        <v>158</v>
      </c>
    </row>
    <row r="132" spans="1:11" s="33" customFormat="1" ht="47.25" customHeight="1" thickBot="1">
      <c r="A132" s="134"/>
      <c r="B132" s="52" t="s">
        <v>167</v>
      </c>
      <c r="C132" s="113" t="s">
        <v>171</v>
      </c>
      <c r="D132" s="130"/>
      <c r="E132" s="130"/>
      <c r="F132" s="130"/>
      <c r="G132" s="130"/>
      <c r="H132" s="130"/>
      <c r="I132" s="130"/>
      <c r="J132" s="130"/>
      <c r="K132" s="136"/>
    </row>
    <row r="133" spans="1:11" s="33" customFormat="1" ht="15.75" thickBot="1">
      <c r="A133" s="80">
        <v>84</v>
      </c>
      <c r="B133" s="20" t="s">
        <v>4</v>
      </c>
      <c r="C133" s="116" t="s">
        <v>171</v>
      </c>
      <c r="D133" s="69">
        <f>E133+F133+G133+H133+I133+J133</f>
        <v>0</v>
      </c>
      <c r="E133" s="35">
        <v>0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2"/>
    </row>
    <row r="134" spans="1:28" s="33" customFormat="1" ht="21" customHeight="1" thickBot="1">
      <c r="A134" s="80">
        <v>85</v>
      </c>
      <c r="B134" s="20" t="s">
        <v>5</v>
      </c>
      <c r="C134" s="116" t="s">
        <v>171</v>
      </c>
      <c r="D134" s="69">
        <f>E134+F134+G134+H134+I134+J134</f>
        <v>11505.499999999998</v>
      </c>
      <c r="E134" s="35">
        <f>576+N134</f>
        <v>839.8</v>
      </c>
      <c r="F134" s="35">
        <f>V134</f>
        <v>269</v>
      </c>
      <c r="G134" s="35">
        <f>7887+Y134+Z134+AB134</f>
        <v>10396.699999999999</v>
      </c>
      <c r="H134" s="35">
        <v>0</v>
      </c>
      <c r="I134" s="35">
        <v>0</v>
      </c>
      <c r="J134" s="35">
        <v>0</v>
      </c>
      <c r="K134" s="32"/>
      <c r="N134" s="33">
        <v>263.8</v>
      </c>
      <c r="V134" s="33">
        <v>269</v>
      </c>
      <c r="Y134" s="33">
        <f>1720.7-47.1-32.8</f>
        <v>1640.8000000000002</v>
      </c>
      <c r="Z134" s="33">
        <v>138.9</v>
      </c>
      <c r="AB134" s="33">
        <v>730</v>
      </c>
    </row>
    <row r="135" spans="1:11" s="33" customFormat="1" ht="15.75" customHeight="1">
      <c r="A135" s="133">
        <v>86</v>
      </c>
      <c r="B135" s="25" t="s">
        <v>34</v>
      </c>
      <c r="C135" s="115"/>
      <c r="D135" s="129">
        <f aca="true" t="shared" si="41" ref="D135:J135">D137+D138</f>
        <v>0</v>
      </c>
      <c r="E135" s="129">
        <f t="shared" si="41"/>
        <v>0</v>
      </c>
      <c r="F135" s="129">
        <f t="shared" si="41"/>
        <v>0</v>
      </c>
      <c r="G135" s="129">
        <f t="shared" si="41"/>
        <v>0</v>
      </c>
      <c r="H135" s="129">
        <f t="shared" si="41"/>
        <v>0</v>
      </c>
      <c r="I135" s="129">
        <f t="shared" si="41"/>
        <v>0</v>
      </c>
      <c r="J135" s="129">
        <f t="shared" si="41"/>
        <v>0</v>
      </c>
      <c r="K135" s="135" t="s">
        <v>158</v>
      </c>
    </row>
    <row r="136" spans="1:11" s="33" customFormat="1" ht="96.75" customHeight="1" thickBot="1">
      <c r="A136" s="134"/>
      <c r="B136" s="52" t="s">
        <v>118</v>
      </c>
      <c r="C136" s="113" t="s">
        <v>171</v>
      </c>
      <c r="D136" s="130"/>
      <c r="E136" s="130"/>
      <c r="F136" s="130"/>
      <c r="G136" s="130"/>
      <c r="H136" s="130"/>
      <c r="I136" s="130"/>
      <c r="J136" s="130"/>
      <c r="K136" s="136"/>
    </row>
    <row r="137" spans="1:11" s="33" customFormat="1" ht="15.75" thickBot="1">
      <c r="A137" s="80">
        <v>87</v>
      </c>
      <c r="B137" s="20" t="s">
        <v>4</v>
      </c>
      <c r="C137" s="116" t="s">
        <v>171</v>
      </c>
      <c r="D137" s="69">
        <f>E137+F137+G137+H137+I137+J137</f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2"/>
    </row>
    <row r="138" spans="1:11" s="33" customFormat="1" ht="21" customHeight="1" thickBot="1">
      <c r="A138" s="80">
        <v>88</v>
      </c>
      <c r="B138" s="20" t="s">
        <v>5</v>
      </c>
      <c r="C138" s="116" t="s">
        <v>171</v>
      </c>
      <c r="D138" s="69">
        <f>E138+F138+G138+H138+I138+J138</f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f>H138</f>
        <v>0</v>
      </c>
      <c r="J138" s="35">
        <f>I138</f>
        <v>0</v>
      </c>
      <c r="K138" s="32"/>
    </row>
    <row r="139" spans="1:11" s="33" customFormat="1" ht="15.75" customHeight="1" thickBot="1">
      <c r="A139" s="159">
        <v>89</v>
      </c>
      <c r="B139" s="12" t="s">
        <v>25</v>
      </c>
      <c r="C139" s="112"/>
      <c r="D139" s="155">
        <f aca="true" t="shared" si="42" ref="D139:J139">D141+D142</f>
        <v>11907.4</v>
      </c>
      <c r="E139" s="155">
        <f t="shared" si="42"/>
        <v>1192.3</v>
      </c>
      <c r="F139" s="155">
        <f>F141+F142</f>
        <v>0</v>
      </c>
      <c r="G139" s="155">
        <f>G141+G142</f>
        <v>10715.1</v>
      </c>
      <c r="H139" s="155">
        <f>H141+H142</f>
        <v>0</v>
      </c>
      <c r="I139" s="155">
        <f>I141+I142</f>
        <v>0</v>
      </c>
      <c r="J139" s="155">
        <f t="shared" si="42"/>
        <v>0</v>
      </c>
      <c r="K139" s="27"/>
    </row>
    <row r="140" spans="1:11" s="33" customFormat="1" ht="63" customHeight="1" thickBot="1">
      <c r="A140" s="160"/>
      <c r="B140" s="52" t="s">
        <v>119</v>
      </c>
      <c r="C140" s="113" t="s">
        <v>171</v>
      </c>
      <c r="D140" s="156"/>
      <c r="E140" s="156"/>
      <c r="F140" s="156"/>
      <c r="G140" s="156"/>
      <c r="H140" s="156"/>
      <c r="I140" s="156"/>
      <c r="J140" s="156"/>
      <c r="K140" s="32" t="s">
        <v>83</v>
      </c>
    </row>
    <row r="141" spans="1:11" s="33" customFormat="1" ht="16.5" customHeight="1" thickBot="1">
      <c r="A141" s="82">
        <v>90</v>
      </c>
      <c r="B141" s="8" t="s">
        <v>4</v>
      </c>
      <c r="C141" s="108" t="s">
        <v>171</v>
      </c>
      <c r="D141" s="17">
        <f>E141+F141+G141+H141+I141+J141</f>
        <v>0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27"/>
    </row>
    <row r="142" spans="1:14" s="33" customFormat="1" ht="16.5" customHeight="1" thickBot="1">
      <c r="A142" s="82">
        <v>91</v>
      </c>
      <c r="B142" s="8" t="s">
        <v>5</v>
      </c>
      <c r="C142" s="108" t="s">
        <v>171</v>
      </c>
      <c r="D142" s="17">
        <f>E142+F142+G142+H142+I142+J142</f>
        <v>11907.4</v>
      </c>
      <c r="E142" s="18">
        <f>N142</f>
        <v>1192.3</v>
      </c>
      <c r="F142" s="18">
        <v>0</v>
      </c>
      <c r="G142" s="18">
        <v>10715.1</v>
      </c>
      <c r="H142" s="18">
        <v>0</v>
      </c>
      <c r="I142" s="18">
        <v>0</v>
      </c>
      <c r="J142" s="18">
        <v>0</v>
      </c>
      <c r="K142" s="27"/>
      <c r="N142" s="33">
        <v>1192.3</v>
      </c>
    </row>
    <row r="143" spans="1:11" s="33" customFormat="1" ht="51.75" customHeight="1" thickBot="1">
      <c r="A143" s="82">
        <v>92</v>
      </c>
      <c r="B143" s="51" t="s">
        <v>120</v>
      </c>
      <c r="C143" s="111" t="s">
        <v>171</v>
      </c>
      <c r="D143" s="17">
        <f aca="true" t="shared" si="43" ref="D143:J143">D144+D145</f>
        <v>2155.5</v>
      </c>
      <c r="E143" s="17">
        <f t="shared" si="43"/>
        <v>0</v>
      </c>
      <c r="F143" s="17">
        <f t="shared" si="43"/>
        <v>0</v>
      </c>
      <c r="G143" s="17">
        <f t="shared" si="43"/>
        <v>1995.5</v>
      </c>
      <c r="H143" s="17">
        <f t="shared" si="43"/>
        <v>0</v>
      </c>
      <c r="I143" s="17">
        <v>0</v>
      </c>
      <c r="J143" s="17">
        <f t="shared" si="43"/>
        <v>160</v>
      </c>
      <c r="K143" s="32" t="s">
        <v>84</v>
      </c>
    </row>
    <row r="144" spans="1:11" s="33" customFormat="1" ht="15.75" thickBot="1">
      <c r="A144" s="82">
        <v>93</v>
      </c>
      <c r="B144" s="8" t="s">
        <v>4</v>
      </c>
      <c r="C144" s="108" t="s">
        <v>171</v>
      </c>
      <c r="D144" s="17">
        <f>E144+F144+G144+H144+I144+J144</f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0"/>
    </row>
    <row r="145" spans="1:28" s="33" customFormat="1" ht="15.75" thickBot="1">
      <c r="A145" s="82">
        <v>94</v>
      </c>
      <c r="B145" s="8" t="s">
        <v>5</v>
      </c>
      <c r="C145" s="108" t="s">
        <v>171</v>
      </c>
      <c r="D145" s="17">
        <f>E145+F145+G145+H145+I145+J145</f>
        <v>2155.5</v>
      </c>
      <c r="E145" s="18">
        <v>0</v>
      </c>
      <c r="F145" s="18">
        <v>0</v>
      </c>
      <c r="G145" s="18">
        <f>AB145</f>
        <v>1995.5</v>
      </c>
      <c r="H145" s="18">
        <v>0</v>
      </c>
      <c r="I145" s="18">
        <v>0</v>
      </c>
      <c r="J145" s="18">
        <v>160</v>
      </c>
      <c r="K145" s="10"/>
      <c r="AB145" s="33">
        <v>1995.5</v>
      </c>
    </row>
    <row r="146" spans="1:11" s="33" customFormat="1" ht="15.75" customHeight="1">
      <c r="A146" s="133">
        <v>95</v>
      </c>
      <c r="B146" s="25" t="s">
        <v>40</v>
      </c>
      <c r="C146" s="115"/>
      <c r="D146" s="129">
        <f>D150+D151+D149</f>
        <v>10505.5</v>
      </c>
      <c r="E146" s="129">
        <f>E148+E152+E156</f>
        <v>1217.8000000000002</v>
      </c>
      <c r="F146" s="129">
        <f>F148+F152+F156</f>
        <v>95.5</v>
      </c>
      <c r="G146" s="129">
        <f>G150+G151+G149</f>
        <v>5210</v>
      </c>
      <c r="H146" s="129">
        <f>H150+H151+H149</f>
        <v>5200</v>
      </c>
      <c r="I146" s="129">
        <f>I150+I151+I149</f>
        <v>0</v>
      </c>
      <c r="J146" s="129">
        <f>J150+J151+J149+J152</f>
        <v>0</v>
      </c>
      <c r="K146" s="135" t="s">
        <v>159</v>
      </c>
    </row>
    <row r="147" spans="1:11" s="33" customFormat="1" ht="65.25" customHeight="1" thickBot="1">
      <c r="A147" s="134"/>
      <c r="B147" s="52" t="s">
        <v>69</v>
      </c>
      <c r="C147" s="113" t="s">
        <v>171</v>
      </c>
      <c r="D147" s="130"/>
      <c r="E147" s="130"/>
      <c r="F147" s="130"/>
      <c r="G147" s="130"/>
      <c r="H147" s="130"/>
      <c r="I147" s="130"/>
      <c r="J147" s="130"/>
      <c r="K147" s="136"/>
    </row>
    <row r="148" spans="1:11" s="33" customFormat="1" ht="32.25" customHeight="1" thickBot="1">
      <c r="A148" s="80">
        <v>96</v>
      </c>
      <c r="B148" s="54" t="s">
        <v>168</v>
      </c>
      <c r="C148" s="119" t="s">
        <v>171</v>
      </c>
      <c r="D148" s="69">
        <f>E148+F148+G148+H148+I148+J148</f>
        <v>95.5</v>
      </c>
      <c r="E148" s="69">
        <v>0</v>
      </c>
      <c r="F148" s="69">
        <f>F149+F150+F151</f>
        <v>95.5</v>
      </c>
      <c r="G148" s="69">
        <v>0</v>
      </c>
      <c r="H148" s="69">
        <v>0</v>
      </c>
      <c r="I148" s="69">
        <v>0</v>
      </c>
      <c r="J148" s="69">
        <v>0</v>
      </c>
      <c r="K148" s="36"/>
    </row>
    <row r="149" spans="1:11" s="33" customFormat="1" ht="15.75" thickBot="1">
      <c r="A149" s="80">
        <v>97</v>
      </c>
      <c r="B149" s="20" t="s">
        <v>39</v>
      </c>
      <c r="C149" s="116" t="s">
        <v>171</v>
      </c>
      <c r="D149" s="69">
        <f aca="true" t="shared" si="44" ref="D149:D159">E149+F149+G149+H149+I149+J149</f>
        <v>0</v>
      </c>
      <c r="E149" s="35">
        <v>0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2"/>
    </row>
    <row r="150" spans="1:11" s="33" customFormat="1" ht="15.75" thickBot="1">
      <c r="A150" s="80">
        <v>98</v>
      </c>
      <c r="B150" s="20" t="s">
        <v>4</v>
      </c>
      <c r="C150" s="116" t="s">
        <v>171</v>
      </c>
      <c r="D150" s="69">
        <f t="shared" si="44"/>
        <v>0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2"/>
    </row>
    <row r="151" spans="1:30" s="33" customFormat="1" ht="21" customHeight="1" thickBot="1">
      <c r="A151" s="80">
        <v>99</v>
      </c>
      <c r="B151" s="20" t="s">
        <v>5</v>
      </c>
      <c r="C151" s="116" t="s">
        <v>171</v>
      </c>
      <c r="D151" s="69">
        <f t="shared" si="44"/>
        <v>10505.5</v>
      </c>
      <c r="E151" s="35">
        <v>0</v>
      </c>
      <c r="F151" s="35">
        <f>W151</f>
        <v>95.5</v>
      </c>
      <c r="G151" s="35">
        <f>5514+Y151+AA151+AD151</f>
        <v>5210</v>
      </c>
      <c r="H151" s="35">
        <v>5200</v>
      </c>
      <c r="I151" s="35">
        <v>0</v>
      </c>
      <c r="J151" s="35">
        <v>0</v>
      </c>
      <c r="K151" s="32"/>
      <c r="W151" s="33">
        <v>95.5</v>
      </c>
      <c r="Y151" s="33">
        <v>-513.4</v>
      </c>
      <c r="AA151" s="33">
        <v>104.5</v>
      </c>
      <c r="AD151" s="33">
        <v>104.9</v>
      </c>
    </row>
    <row r="152" spans="1:11" s="33" customFormat="1" ht="50.25" customHeight="1" thickBot="1">
      <c r="A152" s="80">
        <v>100</v>
      </c>
      <c r="B152" s="54" t="s">
        <v>46</v>
      </c>
      <c r="C152" s="119" t="s">
        <v>171</v>
      </c>
      <c r="D152" s="69">
        <f t="shared" si="44"/>
        <v>1217.8000000000002</v>
      </c>
      <c r="E152" s="69">
        <f>E155</f>
        <v>1217.8000000000002</v>
      </c>
      <c r="F152" s="69">
        <f>F155</f>
        <v>0</v>
      </c>
      <c r="G152" s="69">
        <v>0</v>
      </c>
      <c r="H152" s="69">
        <f>H153+H154+H155</f>
        <v>0</v>
      </c>
      <c r="I152" s="69">
        <v>0</v>
      </c>
      <c r="J152" s="69">
        <f>J155</f>
        <v>0</v>
      </c>
      <c r="K152" s="36"/>
    </row>
    <row r="153" spans="1:11" s="33" customFormat="1" ht="15.75" thickBot="1">
      <c r="A153" s="80">
        <v>101</v>
      </c>
      <c r="B153" s="20" t="s">
        <v>39</v>
      </c>
      <c r="C153" s="116" t="s">
        <v>171</v>
      </c>
      <c r="D153" s="69">
        <f t="shared" si="44"/>
        <v>0</v>
      </c>
      <c r="E153" s="35">
        <v>0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2"/>
    </row>
    <row r="154" spans="1:11" s="33" customFormat="1" ht="15.75" thickBot="1">
      <c r="A154" s="80">
        <v>102</v>
      </c>
      <c r="B154" s="20" t="s">
        <v>4</v>
      </c>
      <c r="C154" s="116" t="s">
        <v>171</v>
      </c>
      <c r="D154" s="69">
        <f t="shared" si="44"/>
        <v>0</v>
      </c>
      <c r="E154" s="35">
        <v>0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2"/>
    </row>
    <row r="155" spans="1:15" s="33" customFormat="1" ht="21" customHeight="1" thickBot="1">
      <c r="A155" s="80">
        <v>103</v>
      </c>
      <c r="B155" s="20" t="s">
        <v>5</v>
      </c>
      <c r="C155" s="116" t="s">
        <v>171</v>
      </c>
      <c r="D155" s="69">
        <f t="shared" si="44"/>
        <v>1217.8000000000002</v>
      </c>
      <c r="E155" s="35">
        <f>4614.8+L155+N155+O155-0.1</f>
        <v>1217.8000000000002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2"/>
      <c r="L155" s="33">
        <v>-2653.3</v>
      </c>
      <c r="N155" s="33">
        <v>-131</v>
      </c>
      <c r="O155" s="33">
        <v>-612.6</v>
      </c>
    </row>
    <row r="156" spans="1:11" s="33" customFormat="1" ht="50.25" customHeight="1" thickBot="1">
      <c r="A156" s="80">
        <v>104</v>
      </c>
      <c r="B156" s="54" t="s">
        <v>50</v>
      </c>
      <c r="C156" s="119" t="s">
        <v>171</v>
      </c>
      <c r="D156" s="69">
        <f t="shared" si="44"/>
        <v>0</v>
      </c>
      <c r="E156" s="69">
        <v>0</v>
      </c>
      <c r="F156" s="69">
        <v>0</v>
      </c>
      <c r="G156" s="69">
        <v>0</v>
      </c>
      <c r="H156" s="69">
        <v>0</v>
      </c>
      <c r="I156" s="69">
        <v>0</v>
      </c>
      <c r="J156" s="69">
        <v>0</v>
      </c>
      <c r="K156" s="36"/>
    </row>
    <row r="157" spans="1:11" s="33" customFormat="1" ht="15.75" thickBot="1">
      <c r="A157" s="80">
        <v>105</v>
      </c>
      <c r="B157" s="20" t="s">
        <v>39</v>
      </c>
      <c r="C157" s="116" t="s">
        <v>171</v>
      </c>
      <c r="D157" s="69">
        <f t="shared" si="44"/>
        <v>0</v>
      </c>
      <c r="E157" s="35">
        <v>0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2"/>
    </row>
    <row r="158" spans="1:11" s="33" customFormat="1" ht="15.75" thickBot="1">
      <c r="A158" s="80">
        <v>106</v>
      </c>
      <c r="B158" s="20" t="s">
        <v>4</v>
      </c>
      <c r="C158" s="116" t="s">
        <v>171</v>
      </c>
      <c r="D158" s="69">
        <f t="shared" si="44"/>
        <v>0</v>
      </c>
      <c r="E158" s="35">
        <v>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2"/>
    </row>
    <row r="159" spans="1:11" s="33" customFormat="1" ht="21" customHeight="1" thickBot="1">
      <c r="A159" s="80">
        <v>107</v>
      </c>
      <c r="B159" s="20" t="s">
        <v>5</v>
      </c>
      <c r="C159" s="116" t="s">
        <v>171</v>
      </c>
      <c r="D159" s="69">
        <f t="shared" si="44"/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f>I159</f>
        <v>0</v>
      </c>
      <c r="K159" s="32"/>
    </row>
    <row r="160" spans="1:11" s="33" customFormat="1" ht="15.75" customHeight="1">
      <c r="A160" s="133">
        <v>108</v>
      </c>
      <c r="B160" s="25" t="s">
        <v>45</v>
      </c>
      <c r="C160" s="115"/>
      <c r="D160" s="129">
        <f aca="true" t="shared" si="45" ref="D160:J160">D163+D164+D162</f>
        <v>18.7</v>
      </c>
      <c r="E160" s="129">
        <f t="shared" si="45"/>
        <v>0</v>
      </c>
      <c r="F160" s="129">
        <f t="shared" si="45"/>
        <v>18.7</v>
      </c>
      <c r="G160" s="129">
        <f t="shared" si="45"/>
        <v>0</v>
      </c>
      <c r="H160" s="129">
        <f t="shared" si="45"/>
        <v>0</v>
      </c>
      <c r="I160" s="129">
        <f t="shared" si="45"/>
        <v>0</v>
      </c>
      <c r="J160" s="129">
        <f t="shared" si="45"/>
        <v>0</v>
      </c>
      <c r="K160" s="135" t="s">
        <v>85</v>
      </c>
    </row>
    <row r="161" spans="1:11" s="33" customFormat="1" ht="34.5" customHeight="1" thickBot="1">
      <c r="A161" s="134"/>
      <c r="B161" s="52" t="s">
        <v>61</v>
      </c>
      <c r="C161" s="113" t="s">
        <v>171</v>
      </c>
      <c r="D161" s="130"/>
      <c r="E161" s="130"/>
      <c r="F161" s="130"/>
      <c r="G161" s="130"/>
      <c r="H161" s="130"/>
      <c r="I161" s="130"/>
      <c r="J161" s="130"/>
      <c r="K161" s="136"/>
    </row>
    <row r="162" spans="1:11" s="33" customFormat="1" ht="15.75" thickBot="1">
      <c r="A162" s="80">
        <v>109</v>
      </c>
      <c r="B162" s="20" t="s">
        <v>39</v>
      </c>
      <c r="C162" s="116" t="s">
        <v>171</v>
      </c>
      <c r="D162" s="69">
        <f>E162+F162+G162+H162+I162+J162</f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2"/>
    </row>
    <row r="163" spans="1:11" s="33" customFormat="1" ht="15.75" thickBot="1">
      <c r="A163" s="80">
        <v>110</v>
      </c>
      <c r="B163" s="20" t="s">
        <v>4</v>
      </c>
      <c r="C163" s="116" t="s">
        <v>171</v>
      </c>
      <c r="D163" s="69">
        <f>E163+F163+G163+H163+I163+J163</f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2"/>
    </row>
    <row r="164" spans="1:11" s="33" customFormat="1" ht="21" customHeight="1" thickBot="1">
      <c r="A164" s="80">
        <v>111</v>
      </c>
      <c r="B164" s="20" t="s">
        <v>5</v>
      </c>
      <c r="C164" s="120" t="s">
        <v>171</v>
      </c>
      <c r="D164" s="69">
        <f>E164+F164+G164+H164+I164+J164</f>
        <v>18.7</v>
      </c>
      <c r="E164" s="35">
        <v>0</v>
      </c>
      <c r="F164" s="35">
        <v>18.7</v>
      </c>
      <c r="G164" s="35">
        <v>0</v>
      </c>
      <c r="H164" s="35">
        <v>0</v>
      </c>
      <c r="I164" s="35">
        <v>0</v>
      </c>
      <c r="J164" s="35">
        <v>0</v>
      </c>
      <c r="K164" s="32"/>
    </row>
    <row r="165" spans="1:11" s="33" customFormat="1" ht="81.75" customHeight="1" thickBot="1">
      <c r="A165" s="38">
        <v>112</v>
      </c>
      <c r="B165" s="55" t="s">
        <v>48</v>
      </c>
      <c r="C165" s="121" t="s">
        <v>171</v>
      </c>
      <c r="D165" s="88">
        <f>D166</f>
        <v>0</v>
      </c>
      <c r="E165" s="70">
        <f aca="true" t="shared" si="46" ref="E165:J165">E166</f>
        <v>0</v>
      </c>
      <c r="F165" s="70">
        <f t="shared" si="46"/>
        <v>0</v>
      </c>
      <c r="G165" s="70">
        <f t="shared" si="46"/>
        <v>0</v>
      </c>
      <c r="H165" s="70">
        <f t="shared" si="46"/>
        <v>0</v>
      </c>
      <c r="I165" s="70">
        <f t="shared" si="46"/>
        <v>0</v>
      </c>
      <c r="J165" s="70">
        <f t="shared" si="46"/>
        <v>0</v>
      </c>
      <c r="K165" s="60" t="s">
        <v>160</v>
      </c>
    </row>
    <row r="166" spans="1:11" s="33" customFormat="1" ht="21" customHeight="1" thickBot="1">
      <c r="A166" s="80">
        <v>113</v>
      </c>
      <c r="B166" s="87" t="s">
        <v>5</v>
      </c>
      <c r="C166" s="122" t="s">
        <v>171</v>
      </c>
      <c r="D166" s="69">
        <f>E166+F166+G166+H166+I166+J166</f>
        <v>0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>
        <f>I166</f>
        <v>0</v>
      </c>
      <c r="K166" s="32"/>
    </row>
    <row r="167" spans="1:11" s="33" customFormat="1" ht="85.5" customHeight="1" thickBot="1">
      <c r="A167" s="38">
        <v>114</v>
      </c>
      <c r="B167" s="56" t="s">
        <v>62</v>
      </c>
      <c r="C167" s="123" t="s">
        <v>171</v>
      </c>
      <c r="D167" s="88">
        <f aca="true" t="shared" si="47" ref="D167:J167">D168+D169</f>
        <v>0</v>
      </c>
      <c r="E167" s="70">
        <f t="shared" si="47"/>
        <v>0</v>
      </c>
      <c r="F167" s="70">
        <f t="shared" si="47"/>
        <v>0</v>
      </c>
      <c r="G167" s="70">
        <f t="shared" si="47"/>
        <v>0</v>
      </c>
      <c r="H167" s="70">
        <f t="shared" si="47"/>
        <v>0</v>
      </c>
      <c r="I167" s="70">
        <f t="shared" si="47"/>
        <v>0</v>
      </c>
      <c r="J167" s="70">
        <f t="shared" si="47"/>
        <v>0</v>
      </c>
      <c r="K167" s="60" t="s">
        <v>161</v>
      </c>
    </row>
    <row r="168" spans="1:11" s="33" customFormat="1" ht="21" customHeight="1" thickBot="1">
      <c r="A168" s="80">
        <v>115</v>
      </c>
      <c r="B168" s="87" t="s">
        <v>5</v>
      </c>
      <c r="C168" s="122" t="s">
        <v>171</v>
      </c>
      <c r="D168" s="89">
        <f>E168+F168+G168+H168+I168+J168</f>
        <v>0</v>
      </c>
      <c r="E168" s="35">
        <v>0</v>
      </c>
      <c r="F168" s="35">
        <v>0</v>
      </c>
      <c r="G168" s="35">
        <v>0</v>
      </c>
      <c r="H168" s="35">
        <v>0</v>
      </c>
      <c r="I168" s="35">
        <v>0</v>
      </c>
      <c r="J168" s="35">
        <f>I168</f>
        <v>0</v>
      </c>
      <c r="K168" s="32"/>
    </row>
    <row r="169" spans="1:11" s="33" customFormat="1" ht="21" customHeight="1" thickBot="1">
      <c r="A169" s="38">
        <v>116</v>
      </c>
      <c r="B169" s="44" t="s">
        <v>4</v>
      </c>
      <c r="C169" s="122" t="s">
        <v>171</v>
      </c>
      <c r="D169" s="71">
        <f>E169+F169+G169+H169+I169+J169</f>
        <v>0</v>
      </c>
      <c r="E169" s="72">
        <v>0</v>
      </c>
      <c r="F169" s="72">
        <v>0</v>
      </c>
      <c r="G169" s="72">
        <v>0</v>
      </c>
      <c r="H169" s="72">
        <v>0</v>
      </c>
      <c r="I169" s="72">
        <v>0</v>
      </c>
      <c r="J169" s="72">
        <f>I169</f>
        <v>0</v>
      </c>
      <c r="K169" s="32"/>
    </row>
    <row r="170" spans="1:11" s="33" customFormat="1" ht="15.75" customHeight="1" thickBot="1">
      <c r="A170" s="133">
        <v>117</v>
      </c>
      <c r="B170" s="49" t="s">
        <v>60</v>
      </c>
      <c r="C170" s="117"/>
      <c r="D170" s="129">
        <f aca="true" t="shared" si="48" ref="D170:J170">D172+D173</f>
        <v>1245.2</v>
      </c>
      <c r="E170" s="129">
        <f t="shared" si="48"/>
        <v>185.1</v>
      </c>
      <c r="F170" s="129">
        <f t="shared" si="48"/>
        <v>647.2</v>
      </c>
      <c r="G170" s="129">
        <f t="shared" si="48"/>
        <v>412.9</v>
      </c>
      <c r="H170" s="129">
        <f t="shared" si="48"/>
        <v>0</v>
      </c>
      <c r="I170" s="129">
        <f t="shared" si="48"/>
        <v>0</v>
      </c>
      <c r="J170" s="129">
        <f t="shared" si="48"/>
        <v>0</v>
      </c>
      <c r="K170" s="135" t="s">
        <v>162</v>
      </c>
    </row>
    <row r="171" spans="1:11" s="33" customFormat="1" ht="65.25" customHeight="1" thickBot="1">
      <c r="A171" s="134"/>
      <c r="B171" s="52" t="s">
        <v>178</v>
      </c>
      <c r="C171" s="113" t="s">
        <v>171</v>
      </c>
      <c r="D171" s="130"/>
      <c r="E171" s="130"/>
      <c r="F171" s="130"/>
      <c r="G171" s="130"/>
      <c r="H171" s="130"/>
      <c r="I171" s="130"/>
      <c r="J171" s="130"/>
      <c r="K171" s="136"/>
    </row>
    <row r="172" spans="1:11" s="33" customFormat="1" ht="15.75" thickBot="1">
      <c r="A172" s="80">
        <v>118</v>
      </c>
      <c r="B172" s="20" t="s">
        <v>4</v>
      </c>
      <c r="C172" s="116" t="s">
        <v>171</v>
      </c>
      <c r="D172" s="69">
        <f>E172+F172+G172+H172+I172+J172</f>
        <v>0</v>
      </c>
      <c r="E172" s="35">
        <v>0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2"/>
    </row>
    <row r="173" spans="1:30" s="33" customFormat="1" ht="21" customHeight="1" thickBot="1">
      <c r="A173" s="80">
        <v>119</v>
      </c>
      <c r="B173" s="20" t="s">
        <v>5</v>
      </c>
      <c r="C173" s="116" t="s">
        <v>171</v>
      </c>
      <c r="D173" s="69">
        <f>E173+F173+G173+H173+I173+J173</f>
        <v>1245.2</v>
      </c>
      <c r="E173" s="35">
        <v>185.1</v>
      </c>
      <c r="F173" s="35">
        <v>647.2</v>
      </c>
      <c r="G173" s="35">
        <f>583+AD173</f>
        <v>412.9</v>
      </c>
      <c r="H173" s="35">
        <v>0</v>
      </c>
      <c r="I173" s="35">
        <v>0</v>
      </c>
      <c r="J173" s="35">
        <v>0</v>
      </c>
      <c r="K173" s="32"/>
      <c r="AD173" s="33">
        <v>-170.1</v>
      </c>
    </row>
    <row r="174" spans="1:11" s="33" customFormat="1" ht="15.75" customHeight="1" thickBot="1">
      <c r="A174" s="133">
        <v>120</v>
      </c>
      <c r="B174" s="49" t="s">
        <v>139</v>
      </c>
      <c r="C174" s="117"/>
      <c r="D174" s="129">
        <f aca="true" t="shared" si="49" ref="D174:J174">D176+D177</f>
        <v>28298.5</v>
      </c>
      <c r="E174" s="129">
        <f t="shared" si="49"/>
        <v>0</v>
      </c>
      <c r="F174" s="129">
        <f t="shared" si="49"/>
        <v>28298.5</v>
      </c>
      <c r="G174" s="129">
        <f t="shared" si="49"/>
        <v>0</v>
      </c>
      <c r="H174" s="129">
        <f t="shared" si="49"/>
        <v>0</v>
      </c>
      <c r="I174" s="129">
        <f t="shared" si="49"/>
        <v>0</v>
      </c>
      <c r="J174" s="129">
        <f t="shared" si="49"/>
        <v>0</v>
      </c>
      <c r="K174" s="135" t="s">
        <v>163</v>
      </c>
    </row>
    <row r="175" spans="1:11" s="33" customFormat="1" ht="66.75" customHeight="1" thickBot="1">
      <c r="A175" s="134"/>
      <c r="B175" s="52" t="s">
        <v>140</v>
      </c>
      <c r="C175" s="113" t="s">
        <v>171</v>
      </c>
      <c r="D175" s="130"/>
      <c r="E175" s="130"/>
      <c r="F175" s="130"/>
      <c r="G175" s="130"/>
      <c r="H175" s="130"/>
      <c r="I175" s="130"/>
      <c r="J175" s="130"/>
      <c r="K175" s="136"/>
    </row>
    <row r="176" spans="1:22" s="33" customFormat="1" ht="15.75" thickBot="1">
      <c r="A176" s="80">
        <v>121</v>
      </c>
      <c r="B176" s="20" t="s">
        <v>39</v>
      </c>
      <c r="C176" s="116" t="s">
        <v>171</v>
      </c>
      <c r="D176" s="69">
        <f>E176+F176+G176+H176+I176+J176</f>
        <v>25190.2</v>
      </c>
      <c r="E176" s="35">
        <v>0</v>
      </c>
      <c r="F176" s="35">
        <f>T176+V176</f>
        <v>25190.2</v>
      </c>
      <c r="G176" s="35">
        <v>0</v>
      </c>
      <c r="H176" s="35">
        <v>0</v>
      </c>
      <c r="I176" s="35">
        <v>0</v>
      </c>
      <c r="J176" s="35">
        <v>0</v>
      </c>
      <c r="K176" s="32"/>
      <c r="T176" s="33">
        <v>42712.5</v>
      </c>
      <c r="V176" s="78">
        <v>-17522.3</v>
      </c>
    </row>
    <row r="177" spans="1:23" s="33" customFormat="1" ht="21" customHeight="1" thickBot="1">
      <c r="A177" s="80">
        <v>122</v>
      </c>
      <c r="B177" s="20" t="s">
        <v>5</v>
      </c>
      <c r="C177" s="116" t="s">
        <v>171</v>
      </c>
      <c r="D177" s="69">
        <f>E177+F177+G177+H177+I177+J177</f>
        <v>3108.3</v>
      </c>
      <c r="E177" s="35">
        <v>0</v>
      </c>
      <c r="F177" s="35">
        <f>1000+T177+U177+V177+W177</f>
        <v>3108.3</v>
      </c>
      <c r="G177" s="35">
        <v>0</v>
      </c>
      <c r="H177" s="35">
        <v>0</v>
      </c>
      <c r="I177" s="35">
        <v>0</v>
      </c>
      <c r="J177" s="35">
        <v>0</v>
      </c>
      <c r="K177" s="32"/>
      <c r="T177" s="33">
        <v>242.7</v>
      </c>
      <c r="U177" s="33">
        <v>2422.1</v>
      </c>
      <c r="V177" s="33">
        <v>-661</v>
      </c>
      <c r="W177" s="33">
        <v>104.5</v>
      </c>
    </row>
    <row r="178" spans="1:11" s="33" customFormat="1" ht="15.75" customHeight="1" thickBot="1">
      <c r="A178" s="133">
        <v>123</v>
      </c>
      <c r="B178" s="49" t="s">
        <v>141</v>
      </c>
      <c r="C178" s="117"/>
      <c r="D178" s="129">
        <f aca="true" t="shared" si="50" ref="D178:J178">D180+D181</f>
        <v>3007.8</v>
      </c>
      <c r="E178" s="129">
        <f t="shared" si="50"/>
        <v>0</v>
      </c>
      <c r="F178" s="129">
        <f t="shared" si="50"/>
        <v>1013.8</v>
      </c>
      <c r="G178" s="129">
        <f t="shared" si="50"/>
        <v>1345</v>
      </c>
      <c r="H178" s="129">
        <f t="shared" si="50"/>
        <v>0</v>
      </c>
      <c r="I178" s="129">
        <f t="shared" si="50"/>
        <v>649</v>
      </c>
      <c r="J178" s="129">
        <f t="shared" si="50"/>
        <v>0</v>
      </c>
      <c r="K178" s="135" t="s">
        <v>156</v>
      </c>
    </row>
    <row r="179" spans="1:11" s="33" customFormat="1" ht="54" customHeight="1" thickBot="1">
      <c r="A179" s="134"/>
      <c r="B179" s="52" t="s">
        <v>142</v>
      </c>
      <c r="C179" s="113" t="s">
        <v>171</v>
      </c>
      <c r="D179" s="130"/>
      <c r="E179" s="130"/>
      <c r="F179" s="130"/>
      <c r="G179" s="130"/>
      <c r="H179" s="130"/>
      <c r="I179" s="130"/>
      <c r="J179" s="130"/>
      <c r="K179" s="136"/>
    </row>
    <row r="180" spans="1:21" s="33" customFormat="1" ht="15.75" thickBot="1">
      <c r="A180" s="80">
        <v>124</v>
      </c>
      <c r="B180" s="20" t="s">
        <v>4</v>
      </c>
      <c r="C180" s="116" t="s">
        <v>171</v>
      </c>
      <c r="D180" s="69">
        <f>E180+F180+G180+H180+I180+J180</f>
        <v>1179.4</v>
      </c>
      <c r="E180" s="35">
        <v>0</v>
      </c>
      <c r="F180" s="35">
        <v>506.9</v>
      </c>
      <c r="G180" s="35">
        <v>672.5</v>
      </c>
      <c r="H180" s="35">
        <v>0</v>
      </c>
      <c r="I180" s="35">
        <v>0</v>
      </c>
      <c r="J180" s="35">
        <v>0</v>
      </c>
      <c r="K180" s="32"/>
      <c r="U180" s="33">
        <v>506.9</v>
      </c>
    </row>
    <row r="181" spans="1:25" s="33" customFormat="1" ht="21" customHeight="1" thickBot="1">
      <c r="A181" s="80">
        <v>125</v>
      </c>
      <c r="B181" s="20" t="s">
        <v>5</v>
      </c>
      <c r="C181" s="116" t="s">
        <v>171</v>
      </c>
      <c r="D181" s="69">
        <f>E181+F181+G181+H181+I181+J181</f>
        <v>1828.4</v>
      </c>
      <c r="E181" s="35">
        <v>0</v>
      </c>
      <c r="F181" s="35">
        <v>506.9</v>
      </c>
      <c r="G181" s="35">
        <f>600+Y181</f>
        <v>672.5</v>
      </c>
      <c r="H181" s="35">
        <v>0</v>
      </c>
      <c r="I181" s="35">
        <v>649</v>
      </c>
      <c r="J181" s="35">
        <v>0</v>
      </c>
      <c r="K181" s="32"/>
      <c r="T181" s="33">
        <v>506.9</v>
      </c>
      <c r="Y181" s="33">
        <v>72.5</v>
      </c>
    </row>
    <row r="182" spans="1:11" s="33" customFormat="1" ht="15.75" customHeight="1" thickBot="1">
      <c r="A182" s="133">
        <v>123</v>
      </c>
      <c r="B182" s="49" t="s">
        <v>169</v>
      </c>
      <c r="C182" s="117"/>
      <c r="D182" s="129">
        <f aca="true" t="shared" si="51" ref="D182:J182">D184+D185</f>
        <v>0</v>
      </c>
      <c r="E182" s="129">
        <f t="shared" si="51"/>
        <v>0</v>
      </c>
      <c r="F182" s="129">
        <f t="shared" si="51"/>
        <v>0</v>
      </c>
      <c r="G182" s="129">
        <f t="shared" si="51"/>
        <v>0</v>
      </c>
      <c r="H182" s="129">
        <f t="shared" si="51"/>
        <v>0</v>
      </c>
      <c r="I182" s="129">
        <f t="shared" si="51"/>
        <v>0</v>
      </c>
      <c r="J182" s="129">
        <f t="shared" si="51"/>
        <v>0</v>
      </c>
      <c r="K182" s="135" t="s">
        <v>156</v>
      </c>
    </row>
    <row r="183" spans="1:11" s="33" customFormat="1" ht="84.75" customHeight="1" thickBot="1">
      <c r="A183" s="134"/>
      <c r="B183" s="52" t="s">
        <v>170</v>
      </c>
      <c r="C183" s="113" t="s">
        <v>171</v>
      </c>
      <c r="D183" s="130"/>
      <c r="E183" s="130"/>
      <c r="F183" s="130"/>
      <c r="G183" s="130"/>
      <c r="H183" s="130"/>
      <c r="I183" s="130"/>
      <c r="J183" s="130"/>
      <c r="K183" s="136"/>
    </row>
    <row r="184" spans="1:21" s="33" customFormat="1" ht="15.75" thickBot="1">
      <c r="A184" s="105">
        <v>124</v>
      </c>
      <c r="B184" s="20" t="s">
        <v>4</v>
      </c>
      <c r="C184" s="116" t="s">
        <v>171</v>
      </c>
      <c r="D184" s="69">
        <f>E184+F184+G184+H184+I184+J184</f>
        <v>0</v>
      </c>
      <c r="E184" s="35">
        <v>0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2"/>
      <c r="U184" s="33">
        <v>506.9</v>
      </c>
    </row>
    <row r="185" spans="1:25" s="33" customFormat="1" ht="21" customHeight="1" thickBot="1">
      <c r="A185" s="105">
        <v>125</v>
      </c>
      <c r="B185" s="20" t="s">
        <v>5</v>
      </c>
      <c r="C185" s="116" t="s">
        <v>171</v>
      </c>
      <c r="D185" s="69">
        <f>E185+F185+G185+H185+I185+J185</f>
        <v>0</v>
      </c>
      <c r="E185" s="35">
        <v>0</v>
      </c>
      <c r="F185" s="35">
        <v>0</v>
      </c>
      <c r="G185" s="35">
        <f>2475+Y185</f>
        <v>0</v>
      </c>
      <c r="H185" s="35">
        <v>0</v>
      </c>
      <c r="I185" s="35">
        <v>0</v>
      </c>
      <c r="J185" s="35">
        <v>0</v>
      </c>
      <c r="K185" s="32"/>
      <c r="T185" s="33">
        <v>506.9</v>
      </c>
      <c r="Y185" s="33">
        <v>-2475</v>
      </c>
    </row>
    <row r="186" spans="1:11" s="33" customFormat="1" ht="15.75" customHeight="1" thickBot="1">
      <c r="A186" s="133">
        <v>123</v>
      </c>
      <c r="B186" s="49" t="s">
        <v>173</v>
      </c>
      <c r="C186" s="117"/>
      <c r="D186" s="129">
        <f aca="true" t="shared" si="52" ref="D186:J186">D188+D189</f>
        <v>9419.6</v>
      </c>
      <c r="E186" s="129">
        <f t="shared" si="52"/>
        <v>0</v>
      </c>
      <c r="F186" s="129">
        <f t="shared" si="52"/>
        <v>0</v>
      </c>
      <c r="G186" s="129">
        <f t="shared" si="52"/>
        <v>9419.6</v>
      </c>
      <c r="H186" s="129">
        <f t="shared" si="52"/>
        <v>0</v>
      </c>
      <c r="I186" s="129">
        <f t="shared" si="52"/>
        <v>0</v>
      </c>
      <c r="J186" s="129">
        <f t="shared" si="52"/>
        <v>0</v>
      </c>
      <c r="K186" s="135" t="s">
        <v>159</v>
      </c>
    </row>
    <row r="187" spans="1:11" s="33" customFormat="1" ht="39" customHeight="1" thickBot="1">
      <c r="A187" s="134"/>
      <c r="B187" s="52" t="s">
        <v>174</v>
      </c>
      <c r="C187" s="113" t="s">
        <v>171</v>
      </c>
      <c r="D187" s="130"/>
      <c r="E187" s="130"/>
      <c r="F187" s="130"/>
      <c r="G187" s="130"/>
      <c r="H187" s="130"/>
      <c r="I187" s="130"/>
      <c r="J187" s="130"/>
      <c r="K187" s="136"/>
    </row>
    <row r="188" spans="1:25" s="33" customFormat="1" ht="15.75" thickBot="1">
      <c r="A188" s="107">
        <v>124</v>
      </c>
      <c r="B188" s="20" t="s">
        <v>39</v>
      </c>
      <c r="C188" s="116" t="s">
        <v>171</v>
      </c>
      <c r="D188" s="69">
        <f>E188+F188+G188+H188+I188+J188</f>
        <v>9372.5</v>
      </c>
      <c r="E188" s="35">
        <v>0</v>
      </c>
      <c r="F188" s="35">
        <v>0</v>
      </c>
      <c r="G188" s="35">
        <f>Y188</f>
        <v>9372.5</v>
      </c>
      <c r="H188" s="35">
        <v>0</v>
      </c>
      <c r="I188" s="35">
        <v>0</v>
      </c>
      <c r="J188" s="35">
        <v>0</v>
      </c>
      <c r="K188" s="32"/>
      <c r="U188" s="33">
        <v>506.9</v>
      </c>
      <c r="Y188" s="33">
        <v>9372.5</v>
      </c>
    </row>
    <row r="189" spans="1:25" s="33" customFormat="1" ht="21" customHeight="1" thickBot="1">
      <c r="A189" s="107">
        <v>125</v>
      </c>
      <c r="B189" s="20" t="s">
        <v>5</v>
      </c>
      <c r="C189" s="116" t="s">
        <v>171</v>
      </c>
      <c r="D189" s="69">
        <f>E189+F189+G189+H189+I189+J189</f>
        <v>47.1</v>
      </c>
      <c r="E189" s="35">
        <v>0</v>
      </c>
      <c r="F189" s="35">
        <v>0</v>
      </c>
      <c r="G189" s="35">
        <f>Y189</f>
        <v>47.1</v>
      </c>
      <c r="H189" s="35">
        <v>0</v>
      </c>
      <c r="I189" s="35">
        <v>0</v>
      </c>
      <c r="J189" s="35">
        <v>0</v>
      </c>
      <c r="K189" s="32"/>
      <c r="T189" s="33">
        <v>506.9</v>
      </c>
      <c r="Y189" s="33">
        <v>47.1</v>
      </c>
    </row>
    <row r="190" spans="1:11" ht="31.5" customHeight="1" thickBot="1">
      <c r="A190" s="82">
        <v>126</v>
      </c>
      <c r="B190" s="152" t="s">
        <v>66</v>
      </c>
      <c r="C190" s="153"/>
      <c r="D190" s="153"/>
      <c r="E190" s="153"/>
      <c r="F190" s="153"/>
      <c r="G190" s="153"/>
      <c r="H190" s="153"/>
      <c r="I190" s="153"/>
      <c r="J190" s="153"/>
      <c r="K190" s="154"/>
    </row>
    <row r="191" spans="1:11" s="33" customFormat="1" ht="15.75" thickBot="1">
      <c r="A191" s="82">
        <v>127</v>
      </c>
      <c r="B191" s="8" t="s">
        <v>8</v>
      </c>
      <c r="C191" s="108" t="s">
        <v>171</v>
      </c>
      <c r="D191" s="22">
        <f>D192+D193</f>
        <v>151285.90000000002</v>
      </c>
      <c r="E191" s="22">
        <f>E192+E193</f>
        <v>23795.5</v>
      </c>
      <c r="F191" s="22">
        <f>F192+F193</f>
        <v>25280.8</v>
      </c>
      <c r="G191" s="22">
        <f>G192+G193+G215</f>
        <v>28769.1</v>
      </c>
      <c r="H191" s="22">
        <f>H192+H193</f>
        <v>21748.1</v>
      </c>
      <c r="I191" s="22">
        <f>I192+I193</f>
        <v>20929.399999999998</v>
      </c>
      <c r="J191" s="22">
        <f>J192+J193</f>
        <v>30763</v>
      </c>
      <c r="K191" s="27"/>
    </row>
    <row r="192" spans="1:11" s="33" customFormat="1" ht="15.75" thickBot="1">
      <c r="A192" s="82">
        <v>128</v>
      </c>
      <c r="B192" s="8" t="s">
        <v>4</v>
      </c>
      <c r="C192" s="108" t="s">
        <v>171</v>
      </c>
      <c r="D192" s="21">
        <f aca="true" t="shared" si="53" ref="D192:J192">D234</f>
        <v>502.5</v>
      </c>
      <c r="E192" s="21">
        <f t="shared" si="53"/>
        <v>300</v>
      </c>
      <c r="F192" s="21">
        <f>F234</f>
        <v>202.5</v>
      </c>
      <c r="G192" s="21">
        <f t="shared" si="53"/>
        <v>0</v>
      </c>
      <c r="H192" s="21">
        <f t="shared" si="53"/>
        <v>0</v>
      </c>
      <c r="I192" s="21">
        <f t="shared" si="53"/>
        <v>0</v>
      </c>
      <c r="J192" s="21">
        <f t="shared" si="53"/>
        <v>0</v>
      </c>
      <c r="K192" s="27"/>
    </row>
    <row r="193" spans="1:11" s="33" customFormat="1" ht="15.75" thickBot="1">
      <c r="A193" s="82">
        <v>129</v>
      </c>
      <c r="B193" s="8" t="s">
        <v>5</v>
      </c>
      <c r="C193" s="108" t="s">
        <v>171</v>
      </c>
      <c r="D193" s="34">
        <f aca="true" t="shared" si="54" ref="D193:J193">D202+D205+D207+D211+D214+D222+D227+D231+D235</f>
        <v>150783.40000000002</v>
      </c>
      <c r="E193" s="34">
        <f t="shared" si="54"/>
        <v>23495.5</v>
      </c>
      <c r="F193" s="34">
        <f t="shared" si="54"/>
        <v>25078.3</v>
      </c>
      <c r="G193" s="34">
        <f t="shared" si="54"/>
        <v>28769.1</v>
      </c>
      <c r="H193" s="34">
        <f t="shared" si="54"/>
        <v>21748.1</v>
      </c>
      <c r="I193" s="34">
        <f t="shared" si="54"/>
        <v>20929.399999999998</v>
      </c>
      <c r="J193" s="34">
        <f t="shared" si="54"/>
        <v>30763</v>
      </c>
      <c r="K193" s="27"/>
    </row>
    <row r="194" spans="1:11" s="33" customFormat="1" ht="16.5" customHeight="1" hidden="1" thickBot="1">
      <c r="A194" s="82"/>
      <c r="B194" s="8" t="s">
        <v>6</v>
      </c>
      <c r="C194" s="108"/>
      <c r="D194" s="21"/>
      <c r="E194" s="21"/>
      <c r="F194" s="21"/>
      <c r="G194" s="21"/>
      <c r="H194" s="21"/>
      <c r="I194" s="21"/>
      <c r="J194" s="21"/>
      <c r="K194" s="27"/>
    </row>
    <row r="195" spans="1:11" s="33" customFormat="1" ht="16.5" customHeight="1" hidden="1" thickBot="1">
      <c r="A195" s="82"/>
      <c r="B195" s="8" t="s">
        <v>5</v>
      </c>
      <c r="C195" s="108"/>
      <c r="D195" s="21"/>
      <c r="E195" s="21"/>
      <c r="F195" s="21"/>
      <c r="G195" s="21"/>
      <c r="H195" s="21"/>
      <c r="I195" s="21"/>
      <c r="J195" s="21"/>
      <c r="K195" s="27"/>
    </row>
    <row r="196" spans="1:11" s="33" customFormat="1" ht="32.25" customHeight="1" hidden="1" thickBot="1">
      <c r="A196" s="82"/>
      <c r="B196" s="8" t="s">
        <v>7</v>
      </c>
      <c r="C196" s="108"/>
      <c r="D196" s="21"/>
      <c r="E196" s="21"/>
      <c r="F196" s="21"/>
      <c r="G196" s="21"/>
      <c r="H196" s="21"/>
      <c r="I196" s="21"/>
      <c r="J196" s="21"/>
      <c r="K196" s="27"/>
    </row>
    <row r="197" spans="1:11" ht="52.5" customHeight="1" thickBot="1">
      <c r="A197" s="90">
        <v>130</v>
      </c>
      <c r="B197" s="96" t="s">
        <v>149</v>
      </c>
      <c r="C197" s="108" t="s">
        <v>171</v>
      </c>
      <c r="D197" s="98">
        <f>D198+D199</f>
        <v>151285.9</v>
      </c>
      <c r="E197" s="98">
        <f aca="true" t="shared" si="55" ref="E197:J197">E198+E199</f>
        <v>23795.5</v>
      </c>
      <c r="F197" s="98">
        <f t="shared" si="55"/>
        <v>25280.8</v>
      </c>
      <c r="G197" s="98">
        <f t="shared" si="55"/>
        <v>28769.1</v>
      </c>
      <c r="H197" s="98">
        <f t="shared" si="55"/>
        <v>21748.1</v>
      </c>
      <c r="I197" s="98">
        <f t="shared" si="55"/>
        <v>20929.399999999998</v>
      </c>
      <c r="J197" s="98">
        <f t="shared" si="55"/>
        <v>30763</v>
      </c>
      <c r="K197" s="27"/>
    </row>
    <row r="198" spans="1:11" ht="15.75" thickBot="1">
      <c r="A198" s="90">
        <v>131</v>
      </c>
      <c r="B198" s="96" t="s">
        <v>4</v>
      </c>
      <c r="C198" s="108" t="s">
        <v>171</v>
      </c>
      <c r="D198" s="98">
        <f>E198+F198+G198+H198+I198+J198</f>
        <v>502.5</v>
      </c>
      <c r="E198" s="99">
        <f aca="true" t="shared" si="56" ref="E198:J199">E192</f>
        <v>300</v>
      </c>
      <c r="F198" s="99">
        <f t="shared" si="56"/>
        <v>202.5</v>
      </c>
      <c r="G198" s="99">
        <f t="shared" si="56"/>
        <v>0</v>
      </c>
      <c r="H198" s="99">
        <f t="shared" si="56"/>
        <v>0</v>
      </c>
      <c r="I198" s="99">
        <f t="shared" si="56"/>
        <v>0</v>
      </c>
      <c r="J198" s="99">
        <f t="shared" si="56"/>
        <v>0</v>
      </c>
      <c r="K198" s="27"/>
    </row>
    <row r="199" spans="1:11" ht="15.75" thickBot="1">
      <c r="A199" s="90">
        <v>132</v>
      </c>
      <c r="B199" s="96" t="s">
        <v>5</v>
      </c>
      <c r="C199" s="108" t="s">
        <v>171</v>
      </c>
      <c r="D199" s="98">
        <f>E199+F199+G199+H199+I199+J199</f>
        <v>150783.4</v>
      </c>
      <c r="E199" s="100">
        <f t="shared" si="56"/>
        <v>23495.5</v>
      </c>
      <c r="F199" s="100">
        <f t="shared" si="56"/>
        <v>25078.3</v>
      </c>
      <c r="G199" s="100">
        <f t="shared" si="56"/>
        <v>28769.1</v>
      </c>
      <c r="H199" s="100">
        <f t="shared" si="56"/>
        <v>21748.1</v>
      </c>
      <c r="I199" s="100">
        <f t="shared" si="56"/>
        <v>20929.399999999998</v>
      </c>
      <c r="J199" s="100">
        <f t="shared" si="56"/>
        <v>30763</v>
      </c>
      <c r="K199" s="27"/>
    </row>
    <row r="200" spans="1:11" s="33" customFormat="1" ht="66.75" customHeight="1" thickBot="1">
      <c r="A200" s="82">
        <v>133</v>
      </c>
      <c r="B200" s="51" t="s">
        <v>121</v>
      </c>
      <c r="C200" s="111" t="s">
        <v>171</v>
      </c>
      <c r="D200" s="22">
        <f aca="true" t="shared" si="57" ref="D200:J200">D201+D202</f>
        <v>141232.5</v>
      </c>
      <c r="E200" s="22">
        <f t="shared" si="57"/>
        <v>22687.5</v>
      </c>
      <c r="F200" s="22">
        <f t="shared" si="57"/>
        <v>23211.5</v>
      </c>
      <c r="G200" s="22">
        <f t="shared" si="57"/>
        <v>23475.8</v>
      </c>
      <c r="H200" s="22">
        <f t="shared" si="57"/>
        <v>21492.6</v>
      </c>
      <c r="I200" s="22">
        <f t="shared" si="57"/>
        <v>20231.1</v>
      </c>
      <c r="J200" s="22">
        <f t="shared" si="57"/>
        <v>30134</v>
      </c>
      <c r="K200" s="27" t="s">
        <v>86</v>
      </c>
    </row>
    <row r="201" spans="1:11" s="33" customFormat="1" ht="15.75" thickBot="1">
      <c r="A201" s="82">
        <v>134</v>
      </c>
      <c r="B201" s="8" t="s">
        <v>4</v>
      </c>
      <c r="C201" s="108" t="s">
        <v>171</v>
      </c>
      <c r="D201" s="22">
        <f>E201+F201+G201+H201+I201+J201</f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7"/>
    </row>
    <row r="202" spans="1:31" s="33" customFormat="1" ht="15.75" thickBot="1">
      <c r="A202" s="82">
        <v>135</v>
      </c>
      <c r="B202" s="8" t="s">
        <v>11</v>
      </c>
      <c r="C202" s="108" t="s">
        <v>171</v>
      </c>
      <c r="D202" s="22">
        <f>E202+F202+G202+H202+I202+J202</f>
        <v>141232.5</v>
      </c>
      <c r="E202" s="21">
        <v>22687.5</v>
      </c>
      <c r="F202" s="21">
        <v>23211.5</v>
      </c>
      <c r="G202" s="21">
        <f>26586.1+Y202+Z202+AA202+AC202+AE202</f>
        <v>23475.8</v>
      </c>
      <c r="H202" s="21">
        <f>22929.3-1436.7</f>
        <v>21492.6</v>
      </c>
      <c r="I202" s="21">
        <f>25231.1-5000</f>
        <v>20231.1</v>
      </c>
      <c r="J202" s="21">
        <v>30134</v>
      </c>
      <c r="K202" s="27"/>
      <c r="L202" s="33">
        <v>11</v>
      </c>
      <c r="N202" s="33">
        <v>-240.8</v>
      </c>
      <c r="P202" s="33">
        <v>-1102.3</v>
      </c>
      <c r="Q202" s="33">
        <v>-248.1</v>
      </c>
      <c r="U202" s="33">
        <v>-567.2</v>
      </c>
      <c r="Y202" s="33">
        <v>-3</v>
      </c>
      <c r="Z202" s="33">
        <v>-1252.6</v>
      </c>
      <c r="AA202" s="33">
        <v>-388.2</v>
      </c>
      <c r="AC202" s="33">
        <v>-133.5</v>
      </c>
      <c r="AE202" s="33">
        <v>-1333</v>
      </c>
    </row>
    <row r="203" spans="1:11" s="33" customFormat="1" ht="15">
      <c r="A203" s="159">
        <v>136</v>
      </c>
      <c r="B203" s="12" t="s">
        <v>14</v>
      </c>
      <c r="C203" s="112"/>
      <c r="D203" s="166">
        <f aca="true" t="shared" si="58" ref="D203:J203">D205</f>
        <v>0</v>
      </c>
      <c r="E203" s="166">
        <f t="shared" si="58"/>
        <v>0</v>
      </c>
      <c r="F203" s="166">
        <f t="shared" si="58"/>
        <v>0</v>
      </c>
      <c r="G203" s="166">
        <f t="shared" si="58"/>
        <v>0</v>
      </c>
      <c r="H203" s="166">
        <f t="shared" si="58"/>
        <v>0</v>
      </c>
      <c r="I203" s="166">
        <f t="shared" si="58"/>
        <v>0</v>
      </c>
      <c r="J203" s="166">
        <f t="shared" si="58"/>
        <v>0</v>
      </c>
      <c r="K203" s="157" t="s">
        <v>87</v>
      </c>
    </row>
    <row r="204" spans="1:11" s="33" customFormat="1" ht="47.25" thickBot="1">
      <c r="A204" s="160"/>
      <c r="B204" s="52" t="s">
        <v>122</v>
      </c>
      <c r="C204" s="113" t="s">
        <v>171</v>
      </c>
      <c r="D204" s="167"/>
      <c r="E204" s="167"/>
      <c r="F204" s="167"/>
      <c r="G204" s="167"/>
      <c r="H204" s="167"/>
      <c r="I204" s="167"/>
      <c r="J204" s="167"/>
      <c r="K204" s="158"/>
    </row>
    <row r="205" spans="1:11" s="33" customFormat="1" ht="15.75" thickBot="1">
      <c r="A205" s="82">
        <v>137</v>
      </c>
      <c r="B205" s="8" t="s">
        <v>5</v>
      </c>
      <c r="C205" s="108" t="s">
        <v>171</v>
      </c>
      <c r="D205" s="22">
        <f>E205+F205+G205+H205+I205+J205</f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7"/>
    </row>
    <row r="206" spans="1:11" ht="31.5" thickBot="1">
      <c r="A206" s="82">
        <v>138</v>
      </c>
      <c r="B206" s="67" t="s">
        <v>26</v>
      </c>
      <c r="C206" s="124" t="s">
        <v>171</v>
      </c>
      <c r="D206" s="22">
        <f>D207</f>
        <v>0</v>
      </c>
      <c r="E206" s="22">
        <f aca="true" t="shared" si="59" ref="E206:J206">E207</f>
        <v>0</v>
      </c>
      <c r="F206" s="22">
        <f t="shared" si="59"/>
        <v>0</v>
      </c>
      <c r="G206" s="22">
        <f t="shared" si="59"/>
        <v>0</v>
      </c>
      <c r="H206" s="22">
        <f t="shared" si="59"/>
        <v>0</v>
      </c>
      <c r="I206" s="22">
        <f t="shared" si="59"/>
        <v>0</v>
      </c>
      <c r="J206" s="22">
        <f t="shared" si="59"/>
        <v>0</v>
      </c>
      <c r="K206" s="157" t="s">
        <v>87</v>
      </c>
    </row>
    <row r="207" spans="1:11" ht="15.75" thickBot="1">
      <c r="A207" s="82">
        <v>139</v>
      </c>
      <c r="B207" s="8" t="s">
        <v>5</v>
      </c>
      <c r="C207" s="108" t="s">
        <v>171</v>
      </c>
      <c r="D207" s="22">
        <f>E207+F207+G207+H207+I207+J207</f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158"/>
    </row>
    <row r="208" spans="1:11" ht="15">
      <c r="A208" s="159">
        <v>140</v>
      </c>
      <c r="B208" s="12" t="s">
        <v>15</v>
      </c>
      <c r="C208" s="112"/>
      <c r="D208" s="166">
        <f aca="true" t="shared" si="60" ref="D208:J208">D210+D211</f>
        <v>2390.9</v>
      </c>
      <c r="E208" s="166">
        <f t="shared" si="60"/>
        <v>0</v>
      </c>
      <c r="F208" s="166">
        <f t="shared" si="60"/>
        <v>164.1</v>
      </c>
      <c r="G208" s="166">
        <f t="shared" si="60"/>
        <v>1926.8000000000002</v>
      </c>
      <c r="H208" s="166">
        <f t="shared" si="60"/>
        <v>0</v>
      </c>
      <c r="I208" s="166">
        <f t="shared" si="60"/>
        <v>0</v>
      </c>
      <c r="J208" s="166">
        <f t="shared" si="60"/>
        <v>300</v>
      </c>
      <c r="K208" s="157" t="s">
        <v>164</v>
      </c>
    </row>
    <row r="209" spans="1:11" ht="63" thickBot="1">
      <c r="A209" s="160"/>
      <c r="B209" s="50" t="s">
        <v>123</v>
      </c>
      <c r="C209" s="114" t="s">
        <v>171</v>
      </c>
      <c r="D209" s="167"/>
      <c r="E209" s="167"/>
      <c r="F209" s="167"/>
      <c r="G209" s="167"/>
      <c r="H209" s="167"/>
      <c r="I209" s="167"/>
      <c r="J209" s="167"/>
      <c r="K209" s="158"/>
    </row>
    <row r="210" spans="1:11" ht="15.75" thickBot="1">
      <c r="A210" s="82">
        <v>141</v>
      </c>
      <c r="B210" s="8" t="s">
        <v>4</v>
      </c>
      <c r="C210" s="108" t="s">
        <v>171</v>
      </c>
      <c r="D210" s="22">
        <f>E210+F210+G210+H210+I210+J210</f>
        <v>0</v>
      </c>
      <c r="E210" s="34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7"/>
    </row>
    <row r="211" spans="1:29" ht="15.75" thickBot="1">
      <c r="A211" s="82">
        <v>142</v>
      </c>
      <c r="B211" s="8" t="s">
        <v>5</v>
      </c>
      <c r="C211" s="108" t="s">
        <v>171</v>
      </c>
      <c r="D211" s="22">
        <f>E211+F211+G211+H211+I211+J211</f>
        <v>2390.9</v>
      </c>
      <c r="E211" s="34">
        <v>0</v>
      </c>
      <c r="F211" s="34">
        <v>164.1</v>
      </c>
      <c r="G211" s="34">
        <f>1500+Y211+AC211</f>
        <v>1926.8000000000002</v>
      </c>
      <c r="H211" s="34">
        <v>0</v>
      </c>
      <c r="I211" s="34">
        <v>0</v>
      </c>
      <c r="J211" s="34">
        <v>300</v>
      </c>
      <c r="K211" s="27"/>
      <c r="Y211">
        <v>454.4</v>
      </c>
      <c r="AC211">
        <v>-27.6</v>
      </c>
    </row>
    <row r="212" spans="1:11" ht="63" customHeight="1" thickBot="1">
      <c r="A212" s="82">
        <v>143</v>
      </c>
      <c r="B212" s="51" t="s">
        <v>124</v>
      </c>
      <c r="C212" s="111" t="s">
        <v>171</v>
      </c>
      <c r="D212" s="22">
        <f aca="true" t="shared" si="61" ref="D212:J212">D213+D214</f>
        <v>0</v>
      </c>
      <c r="E212" s="22">
        <f t="shared" si="61"/>
        <v>0</v>
      </c>
      <c r="F212" s="22">
        <f t="shared" si="61"/>
        <v>0</v>
      </c>
      <c r="G212" s="22">
        <f t="shared" si="61"/>
        <v>0</v>
      </c>
      <c r="H212" s="22">
        <f t="shared" si="61"/>
        <v>0</v>
      </c>
      <c r="I212" s="22">
        <f t="shared" si="61"/>
        <v>0</v>
      </c>
      <c r="J212" s="22">
        <f t="shared" si="61"/>
        <v>0</v>
      </c>
      <c r="K212" s="27" t="s">
        <v>88</v>
      </c>
    </row>
    <row r="213" spans="1:11" ht="15.75" thickBot="1">
      <c r="A213" s="82">
        <v>144</v>
      </c>
      <c r="B213" s="8" t="s">
        <v>4</v>
      </c>
      <c r="C213" s="108" t="s">
        <v>171</v>
      </c>
      <c r="D213" s="22">
        <f>E213+F213+G213+H213+I213+J213</f>
        <v>0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7"/>
    </row>
    <row r="214" spans="1:12" ht="15.75" thickBot="1">
      <c r="A214" s="82">
        <v>145</v>
      </c>
      <c r="B214" s="8" t="s">
        <v>5</v>
      </c>
      <c r="C214" s="108" t="s">
        <v>171</v>
      </c>
      <c r="D214" s="22">
        <f>E214+F214+G214+H214+I214+J214</f>
        <v>0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7"/>
      <c r="L214">
        <v>-394.6</v>
      </c>
    </row>
    <row r="215" spans="1:11" s="33" customFormat="1" ht="15.75" customHeight="1">
      <c r="A215" s="133">
        <v>146</v>
      </c>
      <c r="B215" s="25" t="s">
        <v>43</v>
      </c>
      <c r="C215" s="115"/>
      <c r="D215" s="168">
        <f aca="true" t="shared" si="62" ref="D215:J215">D218+D219+D217</f>
        <v>0</v>
      </c>
      <c r="E215" s="168">
        <f t="shared" si="62"/>
        <v>0</v>
      </c>
      <c r="F215" s="168">
        <f t="shared" si="62"/>
        <v>0</v>
      </c>
      <c r="G215" s="168">
        <f t="shared" si="62"/>
        <v>0</v>
      </c>
      <c r="H215" s="168">
        <f t="shared" si="62"/>
        <v>0</v>
      </c>
      <c r="I215" s="168">
        <f t="shared" si="62"/>
        <v>0</v>
      </c>
      <c r="J215" s="168">
        <f t="shared" si="62"/>
        <v>0</v>
      </c>
      <c r="K215" s="135" t="s">
        <v>89</v>
      </c>
    </row>
    <row r="216" spans="1:11" s="33" customFormat="1" ht="52.5" customHeight="1" thickBot="1">
      <c r="A216" s="134"/>
      <c r="B216" s="52" t="s">
        <v>44</v>
      </c>
      <c r="C216" s="113" t="s">
        <v>171</v>
      </c>
      <c r="D216" s="169"/>
      <c r="E216" s="169"/>
      <c r="F216" s="169"/>
      <c r="G216" s="169"/>
      <c r="H216" s="169"/>
      <c r="I216" s="169"/>
      <c r="J216" s="169"/>
      <c r="K216" s="136"/>
    </row>
    <row r="217" spans="1:11" s="33" customFormat="1" ht="15.75" thickBot="1">
      <c r="A217" s="80">
        <v>147</v>
      </c>
      <c r="B217" s="20" t="s">
        <v>39</v>
      </c>
      <c r="C217" s="116" t="s">
        <v>171</v>
      </c>
      <c r="D217" s="24">
        <f>E217+F217+G217+H217+I217+J217</f>
        <v>0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32"/>
    </row>
    <row r="218" spans="1:11" s="33" customFormat="1" ht="15.75" thickBot="1">
      <c r="A218" s="80">
        <v>148</v>
      </c>
      <c r="B218" s="20" t="s">
        <v>4</v>
      </c>
      <c r="C218" s="116" t="s">
        <v>171</v>
      </c>
      <c r="D218" s="24">
        <f>E218+F218+G218+H218+I218+J218</f>
        <v>0</v>
      </c>
      <c r="E218" s="23">
        <v>0</v>
      </c>
      <c r="F218" s="23">
        <v>0</v>
      </c>
      <c r="G218" s="23">
        <v>0</v>
      </c>
      <c r="H218" s="23">
        <v>0</v>
      </c>
      <c r="I218" s="23">
        <v>0</v>
      </c>
      <c r="J218" s="23">
        <v>0</v>
      </c>
      <c r="K218" s="32"/>
    </row>
    <row r="219" spans="1:11" s="33" customFormat="1" ht="21" customHeight="1" thickBot="1">
      <c r="A219" s="80">
        <v>149</v>
      </c>
      <c r="B219" s="20" t="s">
        <v>5</v>
      </c>
      <c r="C219" s="116" t="s">
        <v>171</v>
      </c>
      <c r="D219" s="24">
        <f>E219+F219+G219+H219+I219+J219</f>
        <v>0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f>I219</f>
        <v>0</v>
      </c>
      <c r="K219" s="32"/>
    </row>
    <row r="220" spans="1:11" s="33" customFormat="1" ht="15.75" customHeight="1">
      <c r="A220" s="133">
        <v>150</v>
      </c>
      <c r="B220" s="25" t="s">
        <v>53</v>
      </c>
      <c r="C220" s="115"/>
      <c r="D220" s="129">
        <f>SUM(E220:J221)</f>
        <v>1294.6</v>
      </c>
      <c r="E220" s="129">
        <f aca="true" t="shared" si="63" ref="E220:J220">E222</f>
        <v>229.9</v>
      </c>
      <c r="F220" s="129">
        <f t="shared" si="63"/>
        <v>131.9</v>
      </c>
      <c r="G220" s="129">
        <f t="shared" si="63"/>
        <v>82.6</v>
      </c>
      <c r="H220" s="129">
        <f t="shared" si="63"/>
        <v>255.5</v>
      </c>
      <c r="I220" s="129">
        <f>I222</f>
        <v>265.7</v>
      </c>
      <c r="J220" s="129">
        <f t="shared" si="63"/>
        <v>329</v>
      </c>
      <c r="K220" s="135" t="s">
        <v>80</v>
      </c>
    </row>
    <row r="221" spans="1:11" s="33" customFormat="1" ht="84" customHeight="1" thickBot="1">
      <c r="A221" s="134"/>
      <c r="B221" s="52" t="s">
        <v>125</v>
      </c>
      <c r="C221" s="113" t="s">
        <v>171</v>
      </c>
      <c r="D221" s="130"/>
      <c r="E221" s="130"/>
      <c r="F221" s="130"/>
      <c r="G221" s="130"/>
      <c r="H221" s="130"/>
      <c r="I221" s="130"/>
      <c r="J221" s="130"/>
      <c r="K221" s="136"/>
    </row>
    <row r="222" spans="1:29" s="33" customFormat="1" ht="15.75" thickBot="1">
      <c r="A222" s="80">
        <v>151</v>
      </c>
      <c r="B222" s="20" t="s">
        <v>5</v>
      </c>
      <c r="C222" s="116" t="s">
        <v>171</v>
      </c>
      <c r="D222" s="69">
        <f>E222+F222+G222+H222+I222+J222</f>
        <v>1294.6</v>
      </c>
      <c r="E222" s="35">
        <v>229.9</v>
      </c>
      <c r="F222" s="35">
        <v>131.9</v>
      </c>
      <c r="G222" s="35">
        <f>245.7+Y222+AC222</f>
        <v>82.6</v>
      </c>
      <c r="H222" s="35">
        <v>255.5</v>
      </c>
      <c r="I222" s="35">
        <v>265.7</v>
      </c>
      <c r="J222" s="35">
        <v>329</v>
      </c>
      <c r="K222" s="32"/>
      <c r="P222" s="33">
        <v>-6.4</v>
      </c>
      <c r="Q222" s="33">
        <v>-40</v>
      </c>
      <c r="X222" s="33">
        <v>-149.3</v>
      </c>
      <c r="Y222" s="33">
        <v>-18.5</v>
      </c>
      <c r="AC222" s="33">
        <v>-144.6</v>
      </c>
    </row>
    <row r="223" spans="1:11" ht="15" hidden="1">
      <c r="A223" s="159"/>
      <c r="B223" s="12"/>
      <c r="C223" s="112"/>
      <c r="D223" s="166"/>
      <c r="E223" s="166"/>
      <c r="F223" s="166"/>
      <c r="G223" s="166"/>
      <c r="H223" s="166"/>
      <c r="I223" s="166"/>
      <c r="J223" s="166"/>
      <c r="K223" s="157"/>
    </row>
    <row r="224" spans="1:11" ht="15.75" hidden="1" thickBot="1">
      <c r="A224" s="160"/>
      <c r="B224" s="50"/>
      <c r="C224" s="114"/>
      <c r="D224" s="167"/>
      <c r="E224" s="167"/>
      <c r="F224" s="167"/>
      <c r="G224" s="167"/>
      <c r="H224" s="167"/>
      <c r="I224" s="167"/>
      <c r="J224" s="167"/>
      <c r="K224" s="158"/>
    </row>
    <row r="225" spans="1:11" ht="15.75" hidden="1" thickBot="1">
      <c r="A225" s="82"/>
      <c r="B225" s="8"/>
      <c r="C225" s="108"/>
      <c r="D225" s="22"/>
      <c r="E225" s="34"/>
      <c r="F225" s="21"/>
      <c r="G225" s="21"/>
      <c r="H225" s="21"/>
      <c r="I225" s="21"/>
      <c r="J225" s="21"/>
      <c r="K225" s="27"/>
    </row>
    <row r="226" spans="1:11" ht="15.75" hidden="1" thickBot="1">
      <c r="A226" s="159"/>
      <c r="B226" s="50"/>
      <c r="C226" s="114"/>
      <c r="D226" s="22"/>
      <c r="E226" s="34"/>
      <c r="F226" s="21"/>
      <c r="G226" s="21"/>
      <c r="H226" s="21"/>
      <c r="I226" s="21"/>
      <c r="J226" s="21"/>
      <c r="K226" s="27"/>
    </row>
    <row r="227" spans="1:11" ht="15.75" hidden="1" thickBot="1">
      <c r="A227" s="160"/>
      <c r="B227" s="8"/>
      <c r="C227" s="108"/>
      <c r="D227" s="22"/>
      <c r="E227" s="34"/>
      <c r="F227" s="34"/>
      <c r="G227" s="34"/>
      <c r="H227" s="34"/>
      <c r="I227" s="34"/>
      <c r="J227" s="34"/>
      <c r="K227" s="27"/>
    </row>
    <row r="228" spans="1:11" ht="15.75" hidden="1" thickBot="1">
      <c r="A228" s="82"/>
      <c r="B228" s="50"/>
      <c r="C228" s="114"/>
      <c r="D228" s="22"/>
      <c r="E228" s="34"/>
      <c r="F228" s="34"/>
      <c r="G228" s="34"/>
      <c r="H228" s="34"/>
      <c r="I228" s="34"/>
      <c r="J228" s="34"/>
      <c r="K228" s="28"/>
    </row>
    <row r="229" spans="1:11" s="33" customFormat="1" ht="84" customHeight="1" thickBot="1">
      <c r="A229" s="82">
        <v>152</v>
      </c>
      <c r="B229" s="53" t="s">
        <v>179</v>
      </c>
      <c r="C229" s="118" t="s">
        <v>171</v>
      </c>
      <c r="D229" s="76">
        <f aca="true" t="shared" si="64" ref="D229:J229">D230+D231</f>
        <v>4930.2</v>
      </c>
      <c r="E229" s="76">
        <f t="shared" si="64"/>
        <v>278.1</v>
      </c>
      <c r="F229" s="76">
        <f t="shared" si="64"/>
        <v>1368.2</v>
      </c>
      <c r="G229" s="76">
        <f t="shared" si="64"/>
        <v>3283.8999999999996</v>
      </c>
      <c r="H229" s="76">
        <f t="shared" si="64"/>
        <v>0</v>
      </c>
      <c r="I229" s="76">
        <f t="shared" si="64"/>
        <v>0</v>
      </c>
      <c r="J229" s="76">
        <f t="shared" si="64"/>
        <v>0</v>
      </c>
      <c r="K229" s="27" t="s">
        <v>165</v>
      </c>
    </row>
    <row r="230" spans="1:11" s="33" customFormat="1" ht="15.75" thickBot="1">
      <c r="A230" s="82">
        <v>153</v>
      </c>
      <c r="B230" s="20" t="s">
        <v>4</v>
      </c>
      <c r="C230" s="116" t="s">
        <v>171</v>
      </c>
      <c r="D230" s="76">
        <f>E230+F230+G230+H230+I230+J230</f>
        <v>0</v>
      </c>
      <c r="E230" s="34">
        <v>0</v>
      </c>
      <c r="F230" s="34">
        <v>0</v>
      </c>
      <c r="G230" s="34">
        <v>0</v>
      </c>
      <c r="H230" s="34">
        <v>0</v>
      </c>
      <c r="I230" s="34">
        <v>0</v>
      </c>
      <c r="J230" s="34">
        <v>0</v>
      </c>
      <c r="K230" s="27"/>
    </row>
    <row r="231" spans="1:30" s="33" customFormat="1" ht="15.75" thickBot="1">
      <c r="A231" s="82">
        <v>154</v>
      </c>
      <c r="B231" s="20" t="s">
        <v>11</v>
      </c>
      <c r="C231" s="116" t="s">
        <v>171</v>
      </c>
      <c r="D231" s="76">
        <f>E231+F231+G231+H231+I231+J231</f>
        <v>4930.2</v>
      </c>
      <c r="E231" s="34">
        <v>278.1</v>
      </c>
      <c r="F231" s="34">
        <v>1368.2</v>
      </c>
      <c r="G231" s="34">
        <f>3544.7+AD231</f>
        <v>3283.8999999999996</v>
      </c>
      <c r="H231" s="34">
        <v>0</v>
      </c>
      <c r="I231" s="34">
        <v>0</v>
      </c>
      <c r="J231" s="34">
        <v>0</v>
      </c>
      <c r="K231" s="27"/>
      <c r="L231" s="33">
        <v>11</v>
      </c>
      <c r="P231" s="33">
        <v>923.4</v>
      </c>
      <c r="Q231" s="33">
        <v>-645.3</v>
      </c>
      <c r="T231" s="33">
        <v>-1010.8</v>
      </c>
      <c r="W231" s="33">
        <v>-611.8</v>
      </c>
      <c r="AD231" s="33">
        <v>-260.8</v>
      </c>
    </row>
    <row r="232" spans="1:11" ht="15">
      <c r="A232" s="159">
        <v>155</v>
      </c>
      <c r="B232" s="12" t="s">
        <v>136</v>
      </c>
      <c r="C232" s="112"/>
      <c r="D232" s="166">
        <f aca="true" t="shared" si="65" ref="D232:J232">D234+D235</f>
        <v>1437.7</v>
      </c>
      <c r="E232" s="166">
        <f t="shared" si="65"/>
        <v>600</v>
      </c>
      <c r="F232" s="166">
        <f t="shared" si="65"/>
        <v>405.1</v>
      </c>
      <c r="G232" s="166">
        <f t="shared" si="65"/>
        <v>0</v>
      </c>
      <c r="H232" s="166">
        <f t="shared" si="65"/>
        <v>0</v>
      </c>
      <c r="I232" s="166">
        <f t="shared" si="65"/>
        <v>432.6</v>
      </c>
      <c r="J232" s="166">
        <f t="shared" si="65"/>
        <v>0</v>
      </c>
      <c r="K232" s="135" t="s">
        <v>165</v>
      </c>
    </row>
    <row r="233" spans="1:11" ht="47.25" thickBot="1">
      <c r="A233" s="160"/>
      <c r="B233" s="50" t="s">
        <v>70</v>
      </c>
      <c r="C233" s="114" t="s">
        <v>171</v>
      </c>
      <c r="D233" s="167"/>
      <c r="E233" s="167"/>
      <c r="F233" s="167"/>
      <c r="G233" s="167"/>
      <c r="H233" s="167"/>
      <c r="I233" s="167"/>
      <c r="J233" s="167"/>
      <c r="K233" s="136"/>
    </row>
    <row r="234" spans="1:17" ht="15.75" thickBot="1">
      <c r="A234" s="82">
        <v>156</v>
      </c>
      <c r="B234" s="8" t="s">
        <v>4</v>
      </c>
      <c r="C234" s="108" t="s">
        <v>171</v>
      </c>
      <c r="D234" s="22">
        <f>E234+F234+G234+H234+I234+J234</f>
        <v>502.5</v>
      </c>
      <c r="E234" s="34">
        <v>300</v>
      </c>
      <c r="F234" s="21">
        <v>202.5</v>
      </c>
      <c r="G234" s="21">
        <v>0</v>
      </c>
      <c r="H234" s="21">
        <v>0</v>
      </c>
      <c r="I234" s="21">
        <v>0</v>
      </c>
      <c r="J234" s="21">
        <v>0</v>
      </c>
      <c r="K234" s="27"/>
      <c r="Q234">
        <v>300</v>
      </c>
    </row>
    <row r="235" spans="1:24" ht="15.75" thickBot="1">
      <c r="A235" s="82">
        <v>157</v>
      </c>
      <c r="B235" s="8" t="s">
        <v>5</v>
      </c>
      <c r="C235" s="108" t="s">
        <v>171</v>
      </c>
      <c r="D235" s="22">
        <f>E235+F235+G235+H235+I235+J235</f>
        <v>935.2</v>
      </c>
      <c r="E235" s="34">
        <v>300</v>
      </c>
      <c r="F235" s="34">
        <v>202.6</v>
      </c>
      <c r="G235" s="34">
        <f>400-400</f>
        <v>0</v>
      </c>
      <c r="H235" s="34">
        <v>0</v>
      </c>
      <c r="I235" s="34">
        <v>432.6</v>
      </c>
      <c r="J235" s="34">
        <v>0</v>
      </c>
      <c r="K235" s="27"/>
      <c r="Q235">
        <v>300</v>
      </c>
      <c r="X235">
        <v>202.6</v>
      </c>
    </row>
    <row r="236" spans="1:11" ht="47.25" customHeight="1" thickBot="1">
      <c r="A236" s="82">
        <v>158</v>
      </c>
      <c r="B236" s="170" t="s">
        <v>65</v>
      </c>
      <c r="C236" s="171"/>
      <c r="D236" s="171"/>
      <c r="E236" s="171"/>
      <c r="F236" s="171"/>
      <c r="G236" s="171"/>
      <c r="H236" s="171"/>
      <c r="I236" s="171"/>
      <c r="J236" s="171"/>
      <c r="K236" s="172"/>
    </row>
    <row r="237" spans="1:11" ht="15.75" thickBot="1">
      <c r="A237" s="82">
        <v>159</v>
      </c>
      <c r="B237" s="8" t="s">
        <v>8</v>
      </c>
      <c r="C237" s="108" t="s">
        <v>171</v>
      </c>
      <c r="D237" s="17">
        <f aca="true" t="shared" si="66" ref="D237:J237">D238+D239</f>
        <v>58115.3</v>
      </c>
      <c r="E237" s="17">
        <f t="shared" si="66"/>
        <v>10595.5</v>
      </c>
      <c r="F237" s="17">
        <f t="shared" si="66"/>
        <v>12104.4</v>
      </c>
      <c r="G237" s="17">
        <f t="shared" si="66"/>
        <v>13288.8</v>
      </c>
      <c r="H237" s="17">
        <f t="shared" si="66"/>
        <v>8577</v>
      </c>
      <c r="I237" s="17">
        <f t="shared" si="66"/>
        <v>9968.6</v>
      </c>
      <c r="J237" s="17">
        <f t="shared" si="66"/>
        <v>3581</v>
      </c>
      <c r="K237" s="27"/>
    </row>
    <row r="238" spans="1:11" ht="15.75" thickBot="1">
      <c r="A238" s="82">
        <v>160</v>
      </c>
      <c r="B238" s="8" t="s">
        <v>4</v>
      </c>
      <c r="C238" s="108" t="s">
        <v>171</v>
      </c>
      <c r="D238" s="17">
        <f>D253+D262+D277</f>
        <v>29256.4</v>
      </c>
      <c r="E238" s="18">
        <f aca="true" t="shared" si="67" ref="E238:J238">E253+E259+E262+E277</f>
        <v>3634.5000000000005</v>
      </c>
      <c r="F238" s="18">
        <f t="shared" si="67"/>
        <v>6227.2</v>
      </c>
      <c r="G238" s="18">
        <f t="shared" si="67"/>
        <v>6288.799999999999</v>
      </c>
      <c r="H238" s="18">
        <f t="shared" si="67"/>
        <v>6424.400000000001</v>
      </c>
      <c r="I238" s="18">
        <f t="shared" si="67"/>
        <v>6681.5</v>
      </c>
      <c r="J238" s="18">
        <f t="shared" si="67"/>
        <v>0</v>
      </c>
      <c r="K238" s="27"/>
    </row>
    <row r="239" spans="1:11" ht="15.75" thickBot="1">
      <c r="A239" s="82">
        <v>161</v>
      </c>
      <c r="B239" s="8" t="s">
        <v>5</v>
      </c>
      <c r="C239" s="108" t="s">
        <v>171</v>
      </c>
      <c r="D239" s="17">
        <f aca="true" t="shared" si="68" ref="D239:J239">D254+D257+D260+D263+D275</f>
        <v>28858.9</v>
      </c>
      <c r="E239" s="35">
        <f t="shared" si="68"/>
        <v>6961</v>
      </c>
      <c r="F239" s="35">
        <f t="shared" si="68"/>
        <v>5877.2</v>
      </c>
      <c r="G239" s="35">
        <f>G254+G257+G260+G263+G275</f>
        <v>7000.000000000001</v>
      </c>
      <c r="H239" s="35">
        <f t="shared" si="68"/>
        <v>2152.6000000000004</v>
      </c>
      <c r="I239" s="35">
        <f t="shared" si="68"/>
        <v>3287.1</v>
      </c>
      <c r="J239" s="35">
        <f t="shared" si="68"/>
        <v>3581</v>
      </c>
      <c r="K239" s="27"/>
    </row>
    <row r="240" spans="1:11" ht="16.5" customHeight="1" hidden="1" thickBot="1">
      <c r="A240" s="82"/>
      <c r="B240" s="8" t="s">
        <v>6</v>
      </c>
      <c r="C240" s="108"/>
      <c r="D240" s="18"/>
      <c r="E240" s="18"/>
      <c r="F240" s="18"/>
      <c r="G240" s="18"/>
      <c r="H240" s="18"/>
      <c r="I240" s="18"/>
      <c r="J240" s="18"/>
      <c r="K240" s="27"/>
    </row>
    <row r="241" spans="1:11" ht="16.5" customHeight="1" hidden="1" thickBot="1">
      <c r="A241" s="82"/>
      <c r="B241" s="8" t="s">
        <v>5</v>
      </c>
      <c r="C241" s="108"/>
      <c r="D241" s="18"/>
      <c r="E241" s="18"/>
      <c r="F241" s="18"/>
      <c r="G241" s="18"/>
      <c r="H241" s="18"/>
      <c r="I241" s="18"/>
      <c r="J241" s="18"/>
      <c r="K241" s="27"/>
    </row>
    <row r="242" spans="1:11" ht="32.25" customHeight="1" hidden="1" thickBot="1">
      <c r="A242" s="82"/>
      <c r="B242" s="8" t="s">
        <v>7</v>
      </c>
      <c r="C242" s="108"/>
      <c r="D242" s="18"/>
      <c r="E242" s="18"/>
      <c r="F242" s="18"/>
      <c r="G242" s="18"/>
      <c r="H242" s="18"/>
      <c r="I242" s="18"/>
      <c r="J242" s="18"/>
      <c r="K242" s="27"/>
    </row>
    <row r="243" spans="1:11" ht="15.75" customHeight="1" hidden="1">
      <c r="A243" s="159"/>
      <c r="B243" s="12" t="s">
        <v>16</v>
      </c>
      <c r="C243" s="112"/>
      <c r="D243" s="173"/>
      <c r="E243" s="173"/>
      <c r="F243" s="173"/>
      <c r="G243" s="173"/>
      <c r="H243" s="173"/>
      <c r="I243" s="173"/>
      <c r="J243" s="173"/>
      <c r="K243" s="157"/>
    </row>
    <row r="244" spans="1:11" ht="79.5" customHeight="1" hidden="1" thickBot="1">
      <c r="A244" s="160"/>
      <c r="B244" s="19" t="s">
        <v>17</v>
      </c>
      <c r="C244" s="106"/>
      <c r="D244" s="174"/>
      <c r="E244" s="174"/>
      <c r="F244" s="174"/>
      <c r="G244" s="174"/>
      <c r="H244" s="174"/>
      <c r="I244" s="174"/>
      <c r="J244" s="174"/>
      <c r="K244" s="158"/>
    </row>
    <row r="245" spans="1:11" ht="16.5" customHeight="1" hidden="1" thickBot="1">
      <c r="A245" s="82"/>
      <c r="B245" s="8" t="s">
        <v>4</v>
      </c>
      <c r="C245" s="108"/>
      <c r="D245" s="18"/>
      <c r="E245" s="18"/>
      <c r="F245" s="18"/>
      <c r="G245" s="18"/>
      <c r="H245" s="18"/>
      <c r="I245" s="18"/>
      <c r="J245" s="18"/>
      <c r="K245" s="27"/>
    </row>
    <row r="246" spans="1:11" ht="48" customHeight="1" hidden="1" thickBot="1">
      <c r="A246" s="82"/>
      <c r="B246" s="8" t="s">
        <v>24</v>
      </c>
      <c r="C246" s="108"/>
      <c r="D246" s="18"/>
      <c r="E246" s="18"/>
      <c r="F246" s="18"/>
      <c r="G246" s="18"/>
      <c r="H246" s="18"/>
      <c r="I246" s="18"/>
      <c r="J246" s="18"/>
      <c r="K246" s="27"/>
    </row>
    <row r="247" spans="1:11" ht="16.5" customHeight="1" hidden="1" thickBot="1">
      <c r="A247" s="82"/>
      <c r="B247" s="8" t="s">
        <v>5</v>
      </c>
      <c r="C247" s="108"/>
      <c r="D247" s="18"/>
      <c r="E247" s="18"/>
      <c r="F247" s="18"/>
      <c r="G247" s="18"/>
      <c r="H247" s="18"/>
      <c r="I247" s="18"/>
      <c r="J247" s="18"/>
      <c r="K247" s="27"/>
    </row>
    <row r="248" spans="1:11" ht="48" customHeight="1" hidden="1" thickBot="1">
      <c r="A248" s="82"/>
      <c r="B248" s="8" t="s">
        <v>24</v>
      </c>
      <c r="C248" s="108"/>
      <c r="D248" s="18"/>
      <c r="E248" s="18"/>
      <c r="F248" s="18"/>
      <c r="G248" s="18"/>
      <c r="H248" s="18"/>
      <c r="I248" s="18"/>
      <c r="J248" s="18"/>
      <c r="K248" s="27"/>
    </row>
    <row r="249" spans="1:11" ht="52.5" customHeight="1" thickBot="1">
      <c r="A249" s="90">
        <v>162</v>
      </c>
      <c r="B249" s="96" t="s">
        <v>149</v>
      </c>
      <c r="C249" s="108" t="s">
        <v>171</v>
      </c>
      <c r="D249" s="98">
        <f>D250+D251</f>
        <v>58115.3</v>
      </c>
      <c r="E249" s="98">
        <f aca="true" t="shared" si="69" ref="E249:J249">E250+E251</f>
        <v>10595.5</v>
      </c>
      <c r="F249" s="98">
        <f t="shared" si="69"/>
        <v>12104.4</v>
      </c>
      <c r="G249" s="98">
        <f t="shared" si="69"/>
        <v>13288.8</v>
      </c>
      <c r="H249" s="98">
        <f t="shared" si="69"/>
        <v>8577</v>
      </c>
      <c r="I249" s="98">
        <f t="shared" si="69"/>
        <v>9968.6</v>
      </c>
      <c r="J249" s="98">
        <f t="shared" si="69"/>
        <v>3581</v>
      </c>
      <c r="K249" s="27"/>
    </row>
    <row r="250" spans="1:11" ht="15.75" thickBot="1">
      <c r="A250" s="90">
        <v>163</v>
      </c>
      <c r="B250" s="96" t="s">
        <v>4</v>
      </c>
      <c r="C250" s="108" t="s">
        <v>171</v>
      </c>
      <c r="D250" s="98">
        <f>E250+F250+G250+H250+I250+J250</f>
        <v>29256.4</v>
      </c>
      <c r="E250" s="99">
        <f aca="true" t="shared" si="70" ref="E250:J251">E238</f>
        <v>3634.5000000000005</v>
      </c>
      <c r="F250" s="99">
        <f t="shared" si="70"/>
        <v>6227.2</v>
      </c>
      <c r="G250" s="99">
        <f t="shared" si="70"/>
        <v>6288.799999999999</v>
      </c>
      <c r="H250" s="99">
        <f t="shared" si="70"/>
        <v>6424.400000000001</v>
      </c>
      <c r="I250" s="99">
        <f t="shared" si="70"/>
        <v>6681.5</v>
      </c>
      <c r="J250" s="99">
        <f t="shared" si="70"/>
        <v>0</v>
      </c>
      <c r="K250" s="27"/>
    </row>
    <row r="251" spans="1:11" ht="15.75" thickBot="1">
      <c r="A251" s="90">
        <v>164</v>
      </c>
      <c r="B251" s="96" t="s">
        <v>5</v>
      </c>
      <c r="C251" s="108" t="s">
        <v>171</v>
      </c>
      <c r="D251" s="98">
        <f>E251+F251+G251+H251+I251+J251</f>
        <v>28858.9</v>
      </c>
      <c r="E251" s="100">
        <f t="shared" si="70"/>
        <v>6961</v>
      </c>
      <c r="F251" s="100">
        <f t="shared" si="70"/>
        <v>5877.2</v>
      </c>
      <c r="G251" s="100">
        <f t="shared" si="70"/>
        <v>7000.000000000001</v>
      </c>
      <c r="H251" s="100">
        <f t="shared" si="70"/>
        <v>2152.6000000000004</v>
      </c>
      <c r="I251" s="100">
        <f t="shared" si="70"/>
        <v>3287.1</v>
      </c>
      <c r="J251" s="100">
        <f t="shared" si="70"/>
        <v>3581</v>
      </c>
      <c r="K251" s="27"/>
    </row>
    <row r="252" spans="1:11" ht="40.5" customHeight="1" thickBot="1">
      <c r="A252" s="82">
        <v>165</v>
      </c>
      <c r="B252" s="51" t="s">
        <v>28</v>
      </c>
      <c r="C252" s="111" t="s">
        <v>171</v>
      </c>
      <c r="D252" s="17">
        <f aca="true" t="shared" si="71" ref="D252:J252">D253+D254</f>
        <v>44028.200000000004</v>
      </c>
      <c r="E252" s="17">
        <f t="shared" si="71"/>
        <v>4899.7</v>
      </c>
      <c r="F252" s="17">
        <f t="shared" si="71"/>
        <v>8950.3</v>
      </c>
      <c r="G252" s="17">
        <f t="shared" si="71"/>
        <v>9975.7</v>
      </c>
      <c r="H252" s="17">
        <f t="shared" si="71"/>
        <v>7721.200000000001</v>
      </c>
      <c r="I252" s="17">
        <f t="shared" si="71"/>
        <v>9078.4</v>
      </c>
      <c r="J252" s="17">
        <f t="shared" si="71"/>
        <v>3402.9</v>
      </c>
      <c r="K252" s="27" t="s">
        <v>90</v>
      </c>
    </row>
    <row r="253" spans="1:28" ht="15.75" thickBot="1">
      <c r="A253" s="82">
        <v>166</v>
      </c>
      <c r="B253" s="8" t="s">
        <v>4</v>
      </c>
      <c r="C253" s="108" t="s">
        <v>171</v>
      </c>
      <c r="D253" s="17">
        <f>E253+F253+G253+H253+I253+J253</f>
        <v>25829.100000000002</v>
      </c>
      <c r="E253" s="18">
        <f>5379.1+Q253</f>
        <v>2966.6000000000004</v>
      </c>
      <c r="F253" s="18">
        <v>5552.8</v>
      </c>
      <c r="G253" s="18">
        <f>5568.4+52.5</f>
        <v>5620.9</v>
      </c>
      <c r="H253" s="18">
        <v>5729.8</v>
      </c>
      <c r="I253" s="18">
        <v>5959</v>
      </c>
      <c r="J253" s="18">
        <v>0</v>
      </c>
      <c r="K253" s="27"/>
      <c r="Q253">
        <v>-2412.5</v>
      </c>
      <c r="AB253">
        <v>52.5</v>
      </c>
    </row>
    <row r="254" spans="1:31" ht="15.75" thickBot="1">
      <c r="A254" s="82">
        <v>167</v>
      </c>
      <c r="B254" s="8" t="s">
        <v>11</v>
      </c>
      <c r="C254" s="108" t="s">
        <v>171</v>
      </c>
      <c r="D254" s="17">
        <f>E254+F254+G254+H254+I254+J254</f>
        <v>18199.100000000002</v>
      </c>
      <c r="E254" s="18">
        <f>3109.7+O254+P254+Q254+R254</f>
        <v>1933.0999999999995</v>
      </c>
      <c r="F254" s="18">
        <f>2907+T254+V254+W254</f>
        <v>3397.5</v>
      </c>
      <c r="G254" s="18">
        <f>2878.3+Z254+AA254+AE254</f>
        <v>4354.800000000001</v>
      </c>
      <c r="H254" s="18">
        <v>1991.4</v>
      </c>
      <c r="I254" s="18">
        <v>3119.4</v>
      </c>
      <c r="J254" s="18">
        <v>3402.9</v>
      </c>
      <c r="K254" s="27"/>
      <c r="O254">
        <v>-224.4</v>
      </c>
      <c r="P254">
        <v>-109.8</v>
      </c>
      <c r="Q254">
        <v>-1229.4</v>
      </c>
      <c r="R254">
        <v>387</v>
      </c>
      <c r="T254">
        <v>426.9</v>
      </c>
      <c r="V254">
        <v>11.6</v>
      </c>
      <c r="W254">
        <v>52</v>
      </c>
      <c r="Z254">
        <v>1283.4</v>
      </c>
      <c r="AA254">
        <v>224.3</v>
      </c>
      <c r="AE254">
        <v>-31.2</v>
      </c>
    </row>
    <row r="255" spans="1:11" ht="15">
      <c r="A255" s="159">
        <v>168</v>
      </c>
      <c r="B255" s="12" t="s">
        <v>14</v>
      </c>
      <c r="C255" s="112"/>
      <c r="D255" s="155">
        <f>D257</f>
        <v>7545.1</v>
      </c>
      <c r="E255" s="155">
        <f>E257</f>
        <v>2661.3</v>
      </c>
      <c r="F255" s="155">
        <f>F257</f>
        <v>2394</v>
      </c>
      <c r="G255" s="155">
        <f>G257</f>
        <v>2489.8</v>
      </c>
      <c r="H255" s="155">
        <v>0</v>
      </c>
      <c r="I255" s="155">
        <v>0</v>
      </c>
      <c r="J255" s="155">
        <v>0</v>
      </c>
      <c r="K255" s="161" t="s">
        <v>90</v>
      </c>
    </row>
    <row r="256" spans="1:11" ht="48.75" customHeight="1" thickBot="1">
      <c r="A256" s="160"/>
      <c r="B256" s="52" t="s">
        <v>102</v>
      </c>
      <c r="C256" s="113" t="s">
        <v>171</v>
      </c>
      <c r="D256" s="156"/>
      <c r="E256" s="156"/>
      <c r="F256" s="156"/>
      <c r="G256" s="156"/>
      <c r="H256" s="156"/>
      <c r="I256" s="156"/>
      <c r="J256" s="156"/>
      <c r="K256" s="162"/>
    </row>
    <row r="257" spans="1:16" ht="15.75" thickBot="1">
      <c r="A257" s="82">
        <v>169</v>
      </c>
      <c r="B257" s="8" t="s">
        <v>5</v>
      </c>
      <c r="C257" s="108" t="s">
        <v>171</v>
      </c>
      <c r="D257" s="18">
        <f>E257+F257+G257+H257+I257+J257</f>
        <v>7545.1</v>
      </c>
      <c r="E257" s="18">
        <v>2661.3</v>
      </c>
      <c r="F257" s="18">
        <v>2394</v>
      </c>
      <c r="G257" s="18">
        <v>2489.8</v>
      </c>
      <c r="H257" s="18">
        <v>0</v>
      </c>
      <c r="I257" s="18">
        <v>0</v>
      </c>
      <c r="J257" s="18">
        <v>0</v>
      </c>
      <c r="K257" s="27"/>
      <c r="M257" s="74">
        <v>1381.5</v>
      </c>
      <c r="P257">
        <v>164.8</v>
      </c>
    </row>
    <row r="258" spans="1:11" ht="37.5" customHeight="1" thickBot="1">
      <c r="A258" s="82">
        <v>171</v>
      </c>
      <c r="B258" s="51" t="s">
        <v>30</v>
      </c>
      <c r="C258" s="111" t="s">
        <v>171</v>
      </c>
      <c r="D258" s="17">
        <f aca="true" t="shared" si="72" ref="D258:J258">D259+D260</f>
        <v>369.59999999999997</v>
      </c>
      <c r="E258" s="17">
        <f t="shared" si="72"/>
        <v>67</v>
      </c>
      <c r="F258" s="17">
        <f t="shared" si="72"/>
        <v>0</v>
      </c>
      <c r="G258" s="17">
        <f t="shared" si="72"/>
        <v>65.5</v>
      </c>
      <c r="H258" s="17">
        <f t="shared" si="72"/>
        <v>75.9</v>
      </c>
      <c r="I258" s="17">
        <f t="shared" si="72"/>
        <v>79</v>
      </c>
      <c r="J258" s="17">
        <f t="shared" si="72"/>
        <v>82.2</v>
      </c>
      <c r="K258" s="161" t="s">
        <v>166</v>
      </c>
    </row>
    <row r="259" spans="1:11" ht="15.75" thickBot="1">
      <c r="A259" s="82">
        <v>172</v>
      </c>
      <c r="B259" s="8" t="s">
        <v>4</v>
      </c>
      <c r="C259" s="108" t="s">
        <v>171</v>
      </c>
      <c r="D259" s="18">
        <f>E259+F259+G259+H259+I259+J259</f>
        <v>0</v>
      </c>
      <c r="E259" s="18">
        <v>0</v>
      </c>
      <c r="F259" s="18">
        <v>0</v>
      </c>
      <c r="G259" s="18">
        <v>0</v>
      </c>
      <c r="H259" s="18">
        <v>0</v>
      </c>
      <c r="I259" s="18">
        <v>0</v>
      </c>
      <c r="J259" s="18">
        <v>0</v>
      </c>
      <c r="K259" s="162"/>
    </row>
    <row r="260" spans="1:30" ht="15.75" thickBot="1">
      <c r="A260" s="82">
        <v>173</v>
      </c>
      <c r="B260" s="8" t="s">
        <v>5</v>
      </c>
      <c r="C260" s="108" t="s">
        <v>171</v>
      </c>
      <c r="D260" s="18">
        <f>E260+F260+G260+H260+I260+J260</f>
        <v>369.59999999999997</v>
      </c>
      <c r="E260" s="18">
        <v>67</v>
      </c>
      <c r="F260" s="18">
        <f>70.3+T260</f>
        <v>0</v>
      </c>
      <c r="G260" s="18">
        <f>73+AD260</f>
        <v>65.5</v>
      </c>
      <c r="H260" s="18">
        <v>75.9</v>
      </c>
      <c r="I260" s="18">
        <v>79</v>
      </c>
      <c r="J260" s="18">
        <v>82.2</v>
      </c>
      <c r="K260" s="27"/>
      <c r="T260">
        <v>-70.3</v>
      </c>
      <c r="AD260">
        <v>-7.5</v>
      </c>
    </row>
    <row r="261" spans="1:11" ht="65.25" customHeight="1" thickBot="1">
      <c r="A261" s="82">
        <v>174</v>
      </c>
      <c r="B261" s="31" t="s">
        <v>58</v>
      </c>
      <c r="C261" s="125" t="s">
        <v>171</v>
      </c>
      <c r="D261" s="17">
        <f aca="true" t="shared" si="73" ref="D261:J261">D262+D263</f>
        <v>2218.5</v>
      </c>
      <c r="E261" s="17">
        <f t="shared" si="73"/>
        <v>2218.5</v>
      </c>
      <c r="F261" s="17">
        <f t="shared" si="73"/>
        <v>0</v>
      </c>
      <c r="G261" s="17">
        <f t="shared" si="73"/>
        <v>0</v>
      </c>
      <c r="H261" s="17">
        <f t="shared" si="73"/>
        <v>0</v>
      </c>
      <c r="I261" s="17">
        <f t="shared" si="73"/>
        <v>0</v>
      </c>
      <c r="J261" s="17">
        <f t="shared" si="73"/>
        <v>0</v>
      </c>
      <c r="K261" s="29" t="s">
        <v>91</v>
      </c>
    </row>
    <row r="262" spans="1:11" ht="15.75" thickBot="1">
      <c r="A262" s="82">
        <v>175</v>
      </c>
      <c r="B262" s="8" t="s">
        <v>4</v>
      </c>
      <c r="C262" s="108" t="s">
        <v>171</v>
      </c>
      <c r="D262" s="18">
        <f>E262+F262+G262+H262+I262+J262</f>
        <v>0</v>
      </c>
      <c r="E262" s="35">
        <v>0</v>
      </c>
      <c r="F262" s="18">
        <f>F265+F268</f>
        <v>0</v>
      </c>
      <c r="G262" s="18">
        <v>0</v>
      </c>
      <c r="H262" s="18">
        <f>H265+H268</f>
        <v>0</v>
      </c>
      <c r="I262" s="18">
        <f>I265+I268</f>
        <v>0</v>
      </c>
      <c r="J262" s="18">
        <f>J265+J268</f>
        <v>0</v>
      </c>
      <c r="K262" s="27"/>
    </row>
    <row r="263" spans="1:14" ht="15.75" thickBot="1">
      <c r="A263" s="82">
        <v>176</v>
      </c>
      <c r="B263" s="8" t="s">
        <v>5</v>
      </c>
      <c r="C263" s="108" t="s">
        <v>171</v>
      </c>
      <c r="D263" s="18">
        <f>E263+F263+G263+H263+I263+J263</f>
        <v>2218.5</v>
      </c>
      <c r="E263" s="35">
        <v>2218.5</v>
      </c>
      <c r="F263" s="35">
        <f>F266+F269+F272</f>
        <v>0</v>
      </c>
      <c r="G263" s="35">
        <f>G266+G269+G272</f>
        <v>0</v>
      </c>
      <c r="H263" s="35">
        <f>H266+H269+H272</f>
        <v>0</v>
      </c>
      <c r="I263" s="35">
        <f>I266+I269+I272</f>
        <v>0</v>
      </c>
      <c r="J263" s="35">
        <f>J266+J269+J272</f>
        <v>0</v>
      </c>
      <c r="K263" s="27"/>
      <c r="N263">
        <v>1800</v>
      </c>
    </row>
    <row r="264" spans="1:11" s="33" customFormat="1" ht="96.75" customHeight="1" thickBot="1">
      <c r="A264" s="82">
        <v>177</v>
      </c>
      <c r="B264" s="31" t="s">
        <v>37</v>
      </c>
      <c r="C264" s="125" t="s">
        <v>171</v>
      </c>
      <c r="D264" s="17">
        <f aca="true" t="shared" si="74" ref="D264:J264">D265+D266</f>
        <v>0</v>
      </c>
      <c r="E264" s="17">
        <f t="shared" si="74"/>
        <v>0</v>
      </c>
      <c r="F264" s="17">
        <f t="shared" si="74"/>
        <v>0</v>
      </c>
      <c r="G264" s="17">
        <f t="shared" si="74"/>
        <v>0</v>
      </c>
      <c r="H264" s="17">
        <f t="shared" si="74"/>
        <v>0</v>
      </c>
      <c r="I264" s="17">
        <f t="shared" si="74"/>
        <v>0</v>
      </c>
      <c r="J264" s="17">
        <f t="shared" si="74"/>
        <v>0</v>
      </c>
      <c r="K264" s="29" t="s">
        <v>91</v>
      </c>
    </row>
    <row r="265" spans="1:11" s="33" customFormat="1" ht="15.75" thickBot="1">
      <c r="A265" s="82">
        <v>178</v>
      </c>
      <c r="B265" s="8" t="s">
        <v>4</v>
      </c>
      <c r="C265" s="108" t="s">
        <v>171</v>
      </c>
      <c r="D265" s="18">
        <f>E265+F265+G265+H265+I265+J265</f>
        <v>0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27"/>
    </row>
    <row r="266" spans="1:11" s="33" customFormat="1" ht="15.75" thickBot="1">
      <c r="A266" s="82">
        <v>179</v>
      </c>
      <c r="B266" s="8" t="s">
        <v>5</v>
      </c>
      <c r="C266" s="108" t="s">
        <v>171</v>
      </c>
      <c r="D266" s="18">
        <f>E266+F266+G266+H266+I266+J266</f>
        <v>0</v>
      </c>
      <c r="E266" s="35">
        <v>0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27"/>
    </row>
    <row r="267" spans="1:11" s="33" customFormat="1" ht="65.25" customHeight="1" thickBot="1">
      <c r="A267" s="82">
        <v>180</v>
      </c>
      <c r="B267" s="31" t="s">
        <v>38</v>
      </c>
      <c r="C267" s="125" t="s">
        <v>171</v>
      </c>
      <c r="D267" s="17">
        <f aca="true" t="shared" si="75" ref="D267:J267">D268+D269</f>
        <v>418.5</v>
      </c>
      <c r="E267" s="17">
        <f t="shared" si="75"/>
        <v>418.5</v>
      </c>
      <c r="F267" s="17">
        <f t="shared" si="75"/>
        <v>0</v>
      </c>
      <c r="G267" s="17">
        <f t="shared" si="75"/>
        <v>0</v>
      </c>
      <c r="H267" s="17">
        <f t="shared" si="75"/>
        <v>0</v>
      </c>
      <c r="I267" s="17">
        <f t="shared" si="75"/>
        <v>0</v>
      </c>
      <c r="J267" s="17">
        <f t="shared" si="75"/>
        <v>0</v>
      </c>
      <c r="K267" s="29" t="s">
        <v>91</v>
      </c>
    </row>
    <row r="268" spans="1:11" s="33" customFormat="1" ht="15.75" thickBot="1">
      <c r="A268" s="82">
        <v>181</v>
      </c>
      <c r="B268" s="8" t="s">
        <v>4</v>
      </c>
      <c r="C268" s="108" t="s">
        <v>171</v>
      </c>
      <c r="D268" s="18">
        <f>E268+F268+G268+H268+I268+J268</f>
        <v>0</v>
      </c>
      <c r="E268" s="35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27"/>
    </row>
    <row r="269" spans="1:11" s="33" customFormat="1" ht="15.75" thickBot="1">
      <c r="A269" s="82">
        <v>182</v>
      </c>
      <c r="B269" s="8" t="s">
        <v>5</v>
      </c>
      <c r="C269" s="108" t="s">
        <v>171</v>
      </c>
      <c r="D269" s="18">
        <f>E269+F269+G269+H269+I269+J269</f>
        <v>418.5</v>
      </c>
      <c r="E269" s="35">
        <v>418.5</v>
      </c>
      <c r="F269" s="35">
        <v>0</v>
      </c>
      <c r="G269" s="35">
        <v>0</v>
      </c>
      <c r="H269" s="18">
        <v>0</v>
      </c>
      <c r="I269" s="18">
        <v>0</v>
      </c>
      <c r="J269" s="18">
        <v>0</v>
      </c>
      <c r="K269" s="27"/>
    </row>
    <row r="270" spans="1:11" s="33" customFormat="1" ht="51" customHeight="1" thickBot="1">
      <c r="A270" s="82">
        <v>183</v>
      </c>
      <c r="B270" s="31" t="s">
        <v>41</v>
      </c>
      <c r="C270" s="125" t="s">
        <v>171</v>
      </c>
      <c r="D270" s="17">
        <f aca="true" t="shared" si="76" ref="D270:J270">D271+D279</f>
        <v>0</v>
      </c>
      <c r="E270" s="17">
        <f t="shared" si="76"/>
        <v>0</v>
      </c>
      <c r="F270" s="17">
        <f t="shared" si="76"/>
        <v>0</v>
      </c>
      <c r="G270" s="17">
        <f t="shared" si="76"/>
        <v>0</v>
      </c>
      <c r="H270" s="17">
        <f t="shared" si="76"/>
        <v>0</v>
      </c>
      <c r="I270" s="17">
        <f t="shared" si="76"/>
        <v>0</v>
      </c>
      <c r="J270" s="17">
        <f t="shared" si="76"/>
        <v>0</v>
      </c>
      <c r="K270" s="29" t="s">
        <v>91</v>
      </c>
    </row>
    <row r="271" spans="1:11" s="33" customFormat="1" ht="15.75" thickBot="1">
      <c r="A271" s="82">
        <v>184</v>
      </c>
      <c r="B271" s="8" t="s">
        <v>4</v>
      </c>
      <c r="C271" s="108" t="s">
        <v>171</v>
      </c>
      <c r="D271" s="18">
        <f>E271+F271+G271+H271+I271+J271</f>
        <v>0</v>
      </c>
      <c r="E271" s="35">
        <v>0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27"/>
    </row>
    <row r="272" spans="1:11" s="33" customFormat="1" ht="15.75" thickBot="1">
      <c r="A272" s="82">
        <v>185</v>
      </c>
      <c r="B272" s="8" t="s">
        <v>5</v>
      </c>
      <c r="C272" s="108" t="s">
        <v>171</v>
      </c>
      <c r="D272" s="18">
        <f>E272+F272+G272+H272+I272+J272</f>
        <v>0</v>
      </c>
      <c r="E272" s="35">
        <v>0</v>
      </c>
      <c r="F272" s="35">
        <v>0</v>
      </c>
      <c r="G272" s="18">
        <v>0</v>
      </c>
      <c r="H272" s="18">
        <v>0</v>
      </c>
      <c r="I272" s="18">
        <v>0</v>
      </c>
      <c r="J272" s="18">
        <v>0</v>
      </c>
      <c r="K272" s="27"/>
    </row>
    <row r="273" spans="1:11" ht="48.75" customHeight="1" thickBot="1">
      <c r="A273" s="82">
        <v>186</v>
      </c>
      <c r="B273" s="51" t="s">
        <v>52</v>
      </c>
      <c r="C273" s="111" t="s">
        <v>171</v>
      </c>
      <c r="D273" s="17">
        <f aca="true" t="shared" si="77" ref="D273:J273">D274+D275</f>
        <v>526.6</v>
      </c>
      <c r="E273" s="17">
        <f t="shared" si="77"/>
        <v>81.1</v>
      </c>
      <c r="F273" s="17">
        <f t="shared" si="77"/>
        <v>85.7</v>
      </c>
      <c r="G273" s="17">
        <f t="shared" si="77"/>
        <v>89.9</v>
      </c>
      <c r="H273" s="17">
        <f t="shared" si="77"/>
        <v>85.3</v>
      </c>
      <c r="I273" s="17">
        <f t="shared" si="77"/>
        <v>88.7</v>
      </c>
      <c r="J273" s="17">
        <f t="shared" si="77"/>
        <v>95.9</v>
      </c>
      <c r="K273" s="161" t="s">
        <v>92</v>
      </c>
    </row>
    <row r="274" spans="1:11" ht="15.75" thickBot="1">
      <c r="A274" s="82">
        <v>187</v>
      </c>
      <c r="B274" s="8" t="s">
        <v>4</v>
      </c>
      <c r="C274" s="108" t="s">
        <v>171</v>
      </c>
      <c r="D274" s="18">
        <f>E274+F274+G274+H274+I274+J274</f>
        <v>0</v>
      </c>
      <c r="E274" s="18">
        <v>0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62"/>
    </row>
    <row r="275" spans="1:29" ht="15.75" thickBot="1">
      <c r="A275" s="82">
        <v>188</v>
      </c>
      <c r="B275" s="8" t="s">
        <v>5</v>
      </c>
      <c r="C275" s="108" t="s">
        <v>171</v>
      </c>
      <c r="D275" s="18">
        <f>E275+F275+G275+H275+I275+J275</f>
        <v>526.6</v>
      </c>
      <c r="E275" s="18">
        <f>146.6+P275</f>
        <v>81.1</v>
      </c>
      <c r="F275" s="18">
        <f>82+T275</f>
        <v>85.7</v>
      </c>
      <c r="G275" s="18">
        <f>82+AC275</f>
        <v>89.9</v>
      </c>
      <c r="H275" s="18">
        <v>85.3</v>
      </c>
      <c r="I275" s="18">
        <v>88.7</v>
      </c>
      <c r="J275" s="18">
        <v>95.9</v>
      </c>
      <c r="K275" s="27"/>
      <c r="P275">
        <v>-65.5</v>
      </c>
      <c r="T275">
        <v>3.7</v>
      </c>
      <c r="AC275">
        <v>7.9</v>
      </c>
    </row>
    <row r="276" spans="1:11" ht="150.75" customHeight="1" thickBot="1">
      <c r="A276" s="82">
        <v>189</v>
      </c>
      <c r="B276" s="51" t="s">
        <v>126</v>
      </c>
      <c r="C276" s="111" t="s">
        <v>171</v>
      </c>
      <c r="D276" s="17">
        <f aca="true" t="shared" si="78" ref="D276:J276">D277+D278</f>
        <v>3427.2999999999997</v>
      </c>
      <c r="E276" s="17">
        <f t="shared" si="78"/>
        <v>667.9</v>
      </c>
      <c r="F276" s="17">
        <f t="shared" si="78"/>
        <v>674.4</v>
      </c>
      <c r="G276" s="17">
        <f t="shared" si="78"/>
        <v>667.9</v>
      </c>
      <c r="H276" s="17">
        <f t="shared" si="78"/>
        <v>694.6</v>
      </c>
      <c r="I276" s="17">
        <f t="shared" si="78"/>
        <v>722.5</v>
      </c>
      <c r="J276" s="17">
        <f t="shared" si="78"/>
        <v>0</v>
      </c>
      <c r="K276" s="175" t="s">
        <v>90</v>
      </c>
    </row>
    <row r="277" spans="1:11" ht="15.75" thickBot="1">
      <c r="A277" s="82">
        <v>190</v>
      </c>
      <c r="B277" s="8" t="s">
        <v>4</v>
      </c>
      <c r="C277" s="108" t="s">
        <v>171</v>
      </c>
      <c r="D277" s="18">
        <f>E277+F277+G277+H277+I277+J277</f>
        <v>3427.2999999999997</v>
      </c>
      <c r="E277" s="18">
        <v>667.9</v>
      </c>
      <c r="F277" s="18">
        <v>674.4</v>
      </c>
      <c r="G277" s="18">
        <v>667.9</v>
      </c>
      <c r="H277" s="18">
        <v>694.6</v>
      </c>
      <c r="I277" s="18">
        <v>722.5</v>
      </c>
      <c r="J277" s="18">
        <v>0</v>
      </c>
      <c r="K277" s="162"/>
    </row>
    <row r="278" spans="1:11" ht="15.75" thickBot="1">
      <c r="A278" s="82">
        <v>191</v>
      </c>
      <c r="B278" s="8" t="s">
        <v>5</v>
      </c>
      <c r="C278" s="108" t="s">
        <v>171</v>
      </c>
      <c r="D278" s="18">
        <f>E278+F278+G278+H278+I278+J278</f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27"/>
    </row>
    <row r="279" spans="1:11" ht="31.5" customHeight="1" thickBot="1">
      <c r="A279" s="82">
        <v>192</v>
      </c>
      <c r="B279" s="176" t="s">
        <v>71</v>
      </c>
      <c r="C279" s="177"/>
      <c r="D279" s="177"/>
      <c r="E279" s="177"/>
      <c r="F279" s="177"/>
      <c r="G279" s="177"/>
      <c r="H279" s="177"/>
      <c r="I279" s="177"/>
      <c r="J279" s="177"/>
      <c r="K279" s="178"/>
    </row>
    <row r="280" spans="1:11" ht="15.75" thickBot="1">
      <c r="A280" s="82">
        <v>193</v>
      </c>
      <c r="B280" s="8" t="s">
        <v>8</v>
      </c>
      <c r="C280" s="108" t="s">
        <v>171</v>
      </c>
      <c r="D280" s="17">
        <f aca="true" t="shared" si="79" ref="D280:J280">D281+D282</f>
        <v>3500.1000000000004</v>
      </c>
      <c r="E280" s="17">
        <f t="shared" si="79"/>
        <v>373.6</v>
      </c>
      <c r="F280" s="17">
        <f t="shared" si="79"/>
        <v>711.4</v>
      </c>
      <c r="G280" s="17">
        <f t="shared" si="79"/>
        <v>719.9000000000001</v>
      </c>
      <c r="H280" s="17">
        <f t="shared" si="79"/>
        <v>545.6</v>
      </c>
      <c r="I280" s="17">
        <f t="shared" si="79"/>
        <v>567.3</v>
      </c>
      <c r="J280" s="17">
        <f t="shared" si="79"/>
        <v>582.3000000000001</v>
      </c>
      <c r="K280" s="10"/>
    </row>
    <row r="281" spans="1:11" ht="15.75" thickBot="1">
      <c r="A281" s="82">
        <v>194</v>
      </c>
      <c r="B281" s="8" t="s">
        <v>4</v>
      </c>
      <c r="C281" s="108" t="s">
        <v>171</v>
      </c>
      <c r="D281" s="18">
        <f>D291+D294</f>
        <v>524.3</v>
      </c>
      <c r="E281" s="18">
        <f>E291+E259+E294</f>
        <v>113.5</v>
      </c>
      <c r="F281" s="18">
        <f>F294+F291</f>
        <v>207</v>
      </c>
      <c r="G281" s="18">
        <f>G291+G294</f>
        <v>203.8</v>
      </c>
      <c r="H281" s="18">
        <f>H294</f>
        <v>0</v>
      </c>
      <c r="I281" s="18">
        <f>I291+I294</f>
        <v>0</v>
      </c>
      <c r="J281" s="18">
        <f>J291+J294</f>
        <v>0</v>
      </c>
      <c r="K281" s="10"/>
    </row>
    <row r="282" spans="1:11" ht="15.75" thickBot="1">
      <c r="A282" s="82">
        <v>195</v>
      </c>
      <c r="B282" s="8" t="s">
        <v>5</v>
      </c>
      <c r="C282" s="108" t="s">
        <v>171</v>
      </c>
      <c r="D282" s="18">
        <f>SUM(E282:J282)</f>
        <v>2975.8</v>
      </c>
      <c r="E282" s="18">
        <f>E292+E295+E297</f>
        <v>260.1</v>
      </c>
      <c r="F282" s="18">
        <f>F292+F295+F297</f>
        <v>504.4</v>
      </c>
      <c r="G282" s="18">
        <f>G292+G295+G297</f>
        <v>516.1</v>
      </c>
      <c r="H282" s="18">
        <f>H292+H295+H297</f>
        <v>545.6</v>
      </c>
      <c r="I282" s="18">
        <f>I292+I295+I297</f>
        <v>567.3</v>
      </c>
      <c r="J282" s="18">
        <f>J292+J295+J297+0.1</f>
        <v>582.3000000000001</v>
      </c>
      <c r="K282" s="10"/>
    </row>
    <row r="283" spans="1:11" ht="16.5" customHeight="1" hidden="1" thickBot="1">
      <c r="A283" s="82"/>
      <c r="B283" s="8" t="s">
        <v>6</v>
      </c>
      <c r="C283" s="108"/>
      <c r="D283" s="18"/>
      <c r="E283" s="18"/>
      <c r="F283" s="18"/>
      <c r="G283" s="18"/>
      <c r="H283" s="18"/>
      <c r="I283" s="18"/>
      <c r="J283" s="18"/>
      <c r="K283" s="10"/>
    </row>
    <row r="284" spans="1:11" ht="16.5" customHeight="1" hidden="1" thickBot="1">
      <c r="A284" s="82"/>
      <c r="B284" s="8" t="s">
        <v>4</v>
      </c>
      <c r="C284" s="108"/>
      <c r="D284" s="18"/>
      <c r="E284" s="18"/>
      <c r="F284" s="18"/>
      <c r="G284" s="18"/>
      <c r="H284" s="18"/>
      <c r="I284" s="18"/>
      <c r="J284" s="18"/>
      <c r="K284" s="10"/>
    </row>
    <row r="285" spans="1:11" ht="16.5" customHeight="1" hidden="1" thickBot="1">
      <c r="A285" s="82"/>
      <c r="B285" s="8" t="s">
        <v>5</v>
      </c>
      <c r="C285" s="108"/>
      <c r="D285" s="18"/>
      <c r="E285" s="18"/>
      <c r="F285" s="18"/>
      <c r="G285" s="18"/>
      <c r="H285" s="18"/>
      <c r="I285" s="18"/>
      <c r="J285" s="18"/>
      <c r="K285" s="10"/>
    </row>
    <row r="286" spans="1:11" ht="48" customHeight="1" hidden="1" thickBot="1">
      <c r="A286" s="82"/>
      <c r="B286" s="8" t="s">
        <v>18</v>
      </c>
      <c r="C286" s="108"/>
      <c r="D286" s="18"/>
      <c r="E286" s="18"/>
      <c r="F286" s="18"/>
      <c r="G286" s="18"/>
      <c r="H286" s="18"/>
      <c r="I286" s="18"/>
      <c r="J286" s="18"/>
      <c r="K286" s="10"/>
    </row>
    <row r="287" spans="1:11" ht="52.5" customHeight="1" thickBot="1">
      <c r="A287" s="90">
        <v>196</v>
      </c>
      <c r="B287" s="96" t="s">
        <v>149</v>
      </c>
      <c r="C287" s="108" t="s">
        <v>171</v>
      </c>
      <c r="D287" s="98">
        <f>D288+D289</f>
        <v>3500.1000000000004</v>
      </c>
      <c r="E287" s="98">
        <f aca="true" t="shared" si="80" ref="E287:J287">E288+E289</f>
        <v>373.6</v>
      </c>
      <c r="F287" s="98">
        <f t="shared" si="80"/>
        <v>711.4</v>
      </c>
      <c r="G287" s="98">
        <f t="shared" si="80"/>
        <v>719.9000000000001</v>
      </c>
      <c r="H287" s="98">
        <f t="shared" si="80"/>
        <v>545.6</v>
      </c>
      <c r="I287" s="98">
        <f t="shared" si="80"/>
        <v>567.3</v>
      </c>
      <c r="J287" s="98">
        <f t="shared" si="80"/>
        <v>582.3000000000001</v>
      </c>
      <c r="K287" s="27"/>
    </row>
    <row r="288" spans="1:11" ht="15.75" thickBot="1">
      <c r="A288" s="90">
        <v>197</v>
      </c>
      <c r="B288" s="96" t="s">
        <v>4</v>
      </c>
      <c r="C288" s="108" t="s">
        <v>171</v>
      </c>
      <c r="D288" s="98">
        <f>E288+F288+G288+H288+I288+J288</f>
        <v>524.3</v>
      </c>
      <c r="E288" s="99">
        <f aca="true" t="shared" si="81" ref="E288:J289">E281</f>
        <v>113.5</v>
      </c>
      <c r="F288" s="99">
        <f t="shared" si="81"/>
        <v>207</v>
      </c>
      <c r="G288" s="99">
        <f t="shared" si="81"/>
        <v>203.8</v>
      </c>
      <c r="H288" s="99">
        <f t="shared" si="81"/>
        <v>0</v>
      </c>
      <c r="I288" s="99">
        <f t="shared" si="81"/>
        <v>0</v>
      </c>
      <c r="J288" s="99">
        <f t="shared" si="81"/>
        <v>0</v>
      </c>
      <c r="K288" s="27"/>
    </row>
    <row r="289" spans="1:11" ht="15.75" thickBot="1">
      <c r="A289" s="90">
        <v>198</v>
      </c>
      <c r="B289" s="96" t="s">
        <v>5</v>
      </c>
      <c r="C289" s="108" t="s">
        <v>171</v>
      </c>
      <c r="D289" s="98">
        <f>E289+F289+G289+H289+I289+J289</f>
        <v>2975.8</v>
      </c>
      <c r="E289" s="100">
        <f t="shared" si="81"/>
        <v>260.1</v>
      </c>
      <c r="F289" s="100">
        <f t="shared" si="81"/>
        <v>504.4</v>
      </c>
      <c r="G289" s="100">
        <f t="shared" si="81"/>
        <v>516.1</v>
      </c>
      <c r="H289" s="100">
        <f t="shared" si="81"/>
        <v>545.6</v>
      </c>
      <c r="I289" s="100">
        <f t="shared" si="81"/>
        <v>567.3</v>
      </c>
      <c r="J289" s="100">
        <f t="shared" si="81"/>
        <v>582.3000000000001</v>
      </c>
      <c r="K289" s="27"/>
    </row>
    <row r="290" spans="1:11" ht="67.5" customHeight="1" thickBot="1">
      <c r="A290" s="82">
        <v>199</v>
      </c>
      <c r="B290" s="51" t="s">
        <v>31</v>
      </c>
      <c r="C290" s="111" t="s">
        <v>171</v>
      </c>
      <c r="D290" s="17">
        <f aca="true" t="shared" si="82" ref="D290:J290">D291+D292</f>
        <v>1577.4</v>
      </c>
      <c r="E290" s="17">
        <f t="shared" si="82"/>
        <v>48.1</v>
      </c>
      <c r="F290" s="17">
        <f t="shared" si="82"/>
        <v>283.9</v>
      </c>
      <c r="G290" s="17">
        <f t="shared" si="82"/>
        <v>286.8</v>
      </c>
      <c r="H290" s="17">
        <f t="shared" si="82"/>
        <v>307.1</v>
      </c>
      <c r="I290" s="17">
        <f t="shared" si="82"/>
        <v>319.3</v>
      </c>
      <c r="J290" s="17">
        <f t="shared" si="82"/>
        <v>332.2</v>
      </c>
      <c r="K290" s="65" t="s">
        <v>93</v>
      </c>
    </row>
    <row r="291" spans="1:11" ht="15.75" thickBot="1">
      <c r="A291" s="82">
        <v>200</v>
      </c>
      <c r="B291" s="8" t="s">
        <v>4</v>
      </c>
      <c r="C291" s="108" t="s">
        <v>171</v>
      </c>
      <c r="D291" s="18">
        <f>E291+F291+G291+H291+I291+J291</f>
        <v>0</v>
      </c>
      <c r="E291" s="18">
        <v>0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0"/>
    </row>
    <row r="292" spans="1:29" ht="15.75" thickBot="1">
      <c r="A292" s="82">
        <v>201</v>
      </c>
      <c r="B292" s="8" t="s">
        <v>5</v>
      </c>
      <c r="C292" s="108" t="s">
        <v>171</v>
      </c>
      <c r="D292" s="18">
        <f>E292+F292+G292+H292+I292+J292</f>
        <v>1577.4</v>
      </c>
      <c r="E292" s="18">
        <v>48.1</v>
      </c>
      <c r="F292" s="18">
        <v>283.9</v>
      </c>
      <c r="G292" s="18">
        <f>295.3+AC292</f>
        <v>286.8</v>
      </c>
      <c r="H292" s="18">
        <v>307.1</v>
      </c>
      <c r="I292" s="18">
        <v>319.3</v>
      </c>
      <c r="J292" s="18">
        <v>332.2</v>
      </c>
      <c r="K292" s="10"/>
      <c r="Q292">
        <v>-224.9</v>
      </c>
      <c r="AC292">
        <v>-8.5</v>
      </c>
    </row>
    <row r="293" spans="1:11" ht="69.75" customHeight="1" thickBot="1">
      <c r="A293" s="82">
        <v>202</v>
      </c>
      <c r="B293" s="51" t="s">
        <v>35</v>
      </c>
      <c r="C293" s="111" t="s">
        <v>171</v>
      </c>
      <c r="D293" s="17">
        <f aca="true" t="shared" si="83" ref="D293:J293">D294+D295</f>
        <v>1922.6</v>
      </c>
      <c r="E293" s="17">
        <f t="shared" si="83"/>
        <v>325.5</v>
      </c>
      <c r="F293" s="17">
        <f t="shared" si="83"/>
        <v>427.5</v>
      </c>
      <c r="G293" s="17">
        <f t="shared" si="83"/>
        <v>433.1</v>
      </c>
      <c r="H293" s="17">
        <f t="shared" si="83"/>
        <v>238.5</v>
      </c>
      <c r="I293" s="17">
        <f t="shared" si="83"/>
        <v>248</v>
      </c>
      <c r="J293" s="17">
        <f t="shared" si="83"/>
        <v>250</v>
      </c>
      <c r="K293" s="32" t="s">
        <v>94</v>
      </c>
    </row>
    <row r="294" spans="1:14" ht="15.75" thickBot="1">
      <c r="A294" s="82">
        <v>203</v>
      </c>
      <c r="B294" s="8" t="s">
        <v>4</v>
      </c>
      <c r="C294" s="108" t="s">
        <v>171</v>
      </c>
      <c r="D294" s="18">
        <f>E294+F294+G294+H294+I294+J294</f>
        <v>524.3</v>
      </c>
      <c r="E294" s="18">
        <v>113.5</v>
      </c>
      <c r="F294" s="18">
        <v>207</v>
      </c>
      <c r="G294" s="18">
        <v>203.8</v>
      </c>
      <c r="H294" s="18">
        <v>0</v>
      </c>
      <c r="I294" s="18">
        <v>0</v>
      </c>
      <c r="J294" s="18">
        <v>0</v>
      </c>
      <c r="K294" s="10"/>
      <c r="N294">
        <v>113.5</v>
      </c>
    </row>
    <row r="295" spans="1:11" ht="15.75" thickBot="1">
      <c r="A295" s="82">
        <v>204</v>
      </c>
      <c r="B295" s="8" t="s">
        <v>5</v>
      </c>
      <c r="C295" s="108" t="s">
        <v>171</v>
      </c>
      <c r="D295" s="18">
        <f>E295+F295+G295+H295+I295+J295</f>
        <v>1398.3</v>
      </c>
      <c r="E295" s="18">
        <v>212</v>
      </c>
      <c r="F295" s="18">
        <v>220.5</v>
      </c>
      <c r="G295" s="18">
        <v>229.3</v>
      </c>
      <c r="H295" s="18">
        <v>238.5</v>
      </c>
      <c r="I295" s="18">
        <v>248</v>
      </c>
      <c r="J295" s="18">
        <v>250</v>
      </c>
      <c r="K295" s="10"/>
    </row>
    <row r="296" spans="1:11" ht="78" thickBot="1">
      <c r="A296" s="82">
        <v>205</v>
      </c>
      <c r="B296" s="57" t="s">
        <v>49</v>
      </c>
      <c r="C296" s="126" t="s">
        <v>171</v>
      </c>
      <c r="D296" s="68">
        <f>D297</f>
        <v>0</v>
      </c>
      <c r="E296" s="68">
        <f aca="true" t="shared" si="84" ref="E296:J296">E297</f>
        <v>0</v>
      </c>
      <c r="F296" s="68">
        <f t="shared" si="84"/>
        <v>0</v>
      </c>
      <c r="G296" s="68">
        <f t="shared" si="84"/>
        <v>0</v>
      </c>
      <c r="H296" s="68">
        <f t="shared" si="84"/>
        <v>0</v>
      </c>
      <c r="I296" s="68">
        <f t="shared" si="84"/>
        <v>0</v>
      </c>
      <c r="J296" s="68">
        <f t="shared" si="84"/>
        <v>0</v>
      </c>
      <c r="K296" s="43" t="s">
        <v>95</v>
      </c>
    </row>
    <row r="297" spans="1:11" ht="15.75" thickBot="1">
      <c r="A297" s="82">
        <v>206</v>
      </c>
      <c r="B297" s="8" t="s">
        <v>5</v>
      </c>
      <c r="C297" s="108" t="s">
        <v>171</v>
      </c>
      <c r="D297" s="18">
        <f>SUM(E297:J297)</f>
        <v>0</v>
      </c>
      <c r="E297" s="18">
        <v>0</v>
      </c>
      <c r="F297" s="18">
        <v>0</v>
      </c>
      <c r="G297" s="18">
        <v>0</v>
      </c>
      <c r="H297" s="18">
        <v>0</v>
      </c>
      <c r="I297" s="18">
        <v>0</v>
      </c>
      <c r="J297" s="18">
        <v>0</v>
      </c>
      <c r="K297" s="27"/>
    </row>
    <row r="298" spans="1:11" ht="15.75" customHeight="1">
      <c r="A298" s="159">
        <v>207</v>
      </c>
      <c r="B298" s="182" t="s">
        <v>137</v>
      </c>
      <c r="C298" s="183"/>
      <c r="D298" s="183"/>
      <c r="E298" s="183"/>
      <c r="F298" s="183"/>
      <c r="G298" s="183"/>
      <c r="H298" s="183"/>
      <c r="I298" s="183"/>
      <c r="J298" s="183"/>
      <c r="K298" s="184"/>
    </row>
    <row r="299" spans="1:11" ht="16.5" customHeight="1" thickBot="1">
      <c r="A299" s="160"/>
      <c r="B299" s="176" t="s">
        <v>138</v>
      </c>
      <c r="C299" s="177"/>
      <c r="D299" s="177"/>
      <c r="E299" s="177"/>
      <c r="F299" s="177"/>
      <c r="G299" s="177"/>
      <c r="H299" s="177"/>
      <c r="I299" s="177"/>
      <c r="J299" s="177"/>
      <c r="K299" s="178"/>
    </row>
    <row r="300" spans="1:11" ht="15.75" thickBot="1">
      <c r="A300" s="82">
        <v>208</v>
      </c>
      <c r="B300" s="8" t="s">
        <v>8</v>
      </c>
      <c r="C300" s="108" t="s">
        <v>171</v>
      </c>
      <c r="D300" s="17">
        <f>D301</f>
        <v>112341.69999999998</v>
      </c>
      <c r="E300" s="17">
        <f aca="true" t="shared" si="85" ref="E300:J300">E301</f>
        <v>17577.6</v>
      </c>
      <c r="F300" s="17">
        <f t="shared" si="85"/>
        <v>18036.499999999996</v>
      </c>
      <c r="G300" s="17">
        <f t="shared" si="85"/>
        <v>20647.899999999998</v>
      </c>
      <c r="H300" s="17">
        <f t="shared" si="85"/>
        <v>17376.7</v>
      </c>
      <c r="I300" s="17">
        <f t="shared" si="85"/>
        <v>19944.8</v>
      </c>
      <c r="J300" s="17">
        <f t="shared" si="85"/>
        <v>18758.2</v>
      </c>
      <c r="K300" s="27"/>
    </row>
    <row r="301" spans="1:11" ht="15.75" thickBot="1">
      <c r="A301" s="82">
        <v>209</v>
      </c>
      <c r="B301" s="8" t="s">
        <v>10</v>
      </c>
      <c r="C301" s="108" t="s">
        <v>171</v>
      </c>
      <c r="D301" s="17">
        <f>E301+F301+G301+H301+I301+J301</f>
        <v>112341.69999999998</v>
      </c>
      <c r="E301" s="18">
        <f aca="true" t="shared" si="86" ref="E301:J301">E308+E310+E312</f>
        <v>17577.6</v>
      </c>
      <c r="F301" s="18">
        <f t="shared" si="86"/>
        <v>18036.499999999996</v>
      </c>
      <c r="G301" s="18">
        <f t="shared" si="86"/>
        <v>20647.899999999998</v>
      </c>
      <c r="H301" s="18">
        <f t="shared" si="86"/>
        <v>17376.7</v>
      </c>
      <c r="I301" s="18">
        <f t="shared" si="86"/>
        <v>19944.8</v>
      </c>
      <c r="J301" s="18">
        <f t="shared" si="86"/>
        <v>18758.2</v>
      </c>
      <c r="K301" s="27"/>
    </row>
    <row r="302" spans="1:11" ht="16.5" customHeight="1" hidden="1" thickBot="1">
      <c r="A302" s="82"/>
      <c r="B302" s="8" t="s">
        <v>6</v>
      </c>
      <c r="C302" s="108"/>
      <c r="D302" s="18"/>
      <c r="E302" s="18"/>
      <c r="F302" s="18"/>
      <c r="G302" s="18"/>
      <c r="H302" s="18"/>
      <c r="I302" s="18"/>
      <c r="J302" s="18"/>
      <c r="K302" s="27"/>
    </row>
    <row r="303" spans="1:11" ht="16.5" customHeight="1" hidden="1" thickBot="1">
      <c r="A303" s="82"/>
      <c r="B303" s="8" t="s">
        <v>19</v>
      </c>
      <c r="C303" s="108"/>
      <c r="D303" s="18"/>
      <c r="E303" s="18"/>
      <c r="F303" s="18"/>
      <c r="G303" s="18"/>
      <c r="H303" s="18"/>
      <c r="I303" s="18"/>
      <c r="J303" s="18"/>
      <c r="K303" s="27"/>
    </row>
    <row r="304" spans="1:11" ht="52.5" customHeight="1" thickBot="1">
      <c r="A304" s="90">
        <v>210</v>
      </c>
      <c r="B304" s="96" t="s">
        <v>149</v>
      </c>
      <c r="C304" s="108" t="s">
        <v>171</v>
      </c>
      <c r="D304" s="98">
        <f>D305+D306</f>
        <v>112341.69999999998</v>
      </c>
      <c r="E304" s="98">
        <f aca="true" t="shared" si="87" ref="E304:J304">E305+E306</f>
        <v>17577.6</v>
      </c>
      <c r="F304" s="98">
        <f t="shared" si="87"/>
        <v>18036.499999999996</v>
      </c>
      <c r="G304" s="98">
        <f t="shared" si="87"/>
        <v>20647.899999999998</v>
      </c>
      <c r="H304" s="98">
        <f t="shared" si="87"/>
        <v>17376.7</v>
      </c>
      <c r="I304" s="98">
        <f t="shared" si="87"/>
        <v>19944.8</v>
      </c>
      <c r="J304" s="98">
        <f t="shared" si="87"/>
        <v>18758.2</v>
      </c>
      <c r="K304" s="27"/>
    </row>
    <row r="305" spans="1:11" ht="15.75" thickBot="1">
      <c r="A305" s="90">
        <v>211</v>
      </c>
      <c r="B305" s="96" t="s">
        <v>4</v>
      </c>
      <c r="C305" s="108" t="s">
        <v>171</v>
      </c>
      <c r="D305" s="98">
        <f>E305+F305+G305+H305+I305+J305</f>
        <v>0</v>
      </c>
      <c r="E305" s="99">
        <v>0</v>
      </c>
      <c r="F305" s="99">
        <v>0</v>
      </c>
      <c r="G305" s="99">
        <v>0</v>
      </c>
      <c r="H305" s="99">
        <v>0</v>
      </c>
      <c r="I305" s="99">
        <v>0</v>
      </c>
      <c r="J305" s="99">
        <v>0</v>
      </c>
      <c r="K305" s="27"/>
    </row>
    <row r="306" spans="1:11" ht="15.75" thickBot="1">
      <c r="A306" s="90">
        <v>212</v>
      </c>
      <c r="B306" s="96" t="s">
        <v>5</v>
      </c>
      <c r="C306" s="108" t="s">
        <v>171</v>
      </c>
      <c r="D306" s="98">
        <f>E306+F306+G306+H306+I306+J306</f>
        <v>112341.69999999998</v>
      </c>
      <c r="E306" s="100">
        <f aca="true" t="shared" si="88" ref="E306:J306">E301</f>
        <v>17577.6</v>
      </c>
      <c r="F306" s="100">
        <f t="shared" si="88"/>
        <v>18036.499999999996</v>
      </c>
      <c r="G306" s="100">
        <f t="shared" si="88"/>
        <v>20647.899999999998</v>
      </c>
      <c r="H306" s="100">
        <f t="shared" si="88"/>
        <v>17376.7</v>
      </c>
      <c r="I306" s="100">
        <f t="shared" si="88"/>
        <v>19944.8</v>
      </c>
      <c r="J306" s="100">
        <f t="shared" si="88"/>
        <v>18758.2</v>
      </c>
      <c r="K306" s="27"/>
    </row>
    <row r="307" spans="1:11" ht="47.25" thickBot="1">
      <c r="A307" s="82">
        <v>213</v>
      </c>
      <c r="B307" s="51" t="s">
        <v>32</v>
      </c>
      <c r="C307" s="111" t="s">
        <v>171</v>
      </c>
      <c r="D307" s="17">
        <f>D308</f>
        <v>110665.79999999999</v>
      </c>
      <c r="E307" s="17">
        <f aca="true" t="shared" si="89" ref="E307:J307">E308</f>
        <v>17284.1</v>
      </c>
      <c r="F307" s="17">
        <f t="shared" si="89"/>
        <v>17827.199999999997</v>
      </c>
      <c r="G307" s="17">
        <f t="shared" si="89"/>
        <v>20453.1</v>
      </c>
      <c r="H307" s="17">
        <f t="shared" si="89"/>
        <v>17051.8</v>
      </c>
      <c r="I307" s="17">
        <f t="shared" si="89"/>
        <v>19603.7</v>
      </c>
      <c r="J307" s="17">
        <f t="shared" si="89"/>
        <v>18445.9</v>
      </c>
      <c r="K307" s="30" t="s">
        <v>96</v>
      </c>
    </row>
    <row r="308" spans="1:29" ht="15.75" thickBot="1">
      <c r="A308" s="82">
        <v>214</v>
      </c>
      <c r="B308" s="8" t="s">
        <v>5</v>
      </c>
      <c r="C308" s="108" t="s">
        <v>171</v>
      </c>
      <c r="D308" s="17">
        <f>E308+F308+G308+H308+I308+J308</f>
        <v>110665.79999999999</v>
      </c>
      <c r="E308" s="18">
        <f>15585.4+P308+Q308</f>
        <v>17284.1</v>
      </c>
      <c r="F308" s="18">
        <f>17585.1+S308+T308+W308+X308</f>
        <v>17827.199999999997</v>
      </c>
      <c r="G308" s="18">
        <f>19274.3+Z308+AA308+AC308</f>
        <v>20453.1</v>
      </c>
      <c r="H308" s="18">
        <v>17051.8</v>
      </c>
      <c r="I308" s="18">
        <v>19603.7</v>
      </c>
      <c r="J308" s="18">
        <v>18445.9</v>
      </c>
      <c r="K308" s="27"/>
      <c r="P308">
        <v>508.5</v>
      </c>
      <c r="Q308">
        <v>1190.2</v>
      </c>
      <c r="S308">
        <v>-1000</v>
      </c>
      <c r="T308">
        <v>-30</v>
      </c>
      <c r="W308">
        <v>301.3</v>
      </c>
      <c r="X308">
        <v>970.8</v>
      </c>
      <c r="Z308">
        <v>728.1</v>
      </c>
      <c r="AA308">
        <v>37.3</v>
      </c>
      <c r="AC308">
        <v>413.4</v>
      </c>
    </row>
    <row r="309" spans="1:11" ht="47.25" thickBot="1">
      <c r="A309" s="82">
        <v>215</v>
      </c>
      <c r="B309" s="51" t="s">
        <v>57</v>
      </c>
      <c r="C309" s="111" t="s">
        <v>171</v>
      </c>
      <c r="D309" s="17">
        <f>D310</f>
        <v>1675.8999999999999</v>
      </c>
      <c r="E309" s="17">
        <f aca="true" t="shared" si="90" ref="E309:J309">E310</f>
        <v>293.5</v>
      </c>
      <c r="F309" s="17">
        <f t="shared" si="90"/>
        <v>209.3</v>
      </c>
      <c r="G309" s="17">
        <f t="shared" si="90"/>
        <v>194.8</v>
      </c>
      <c r="H309" s="17">
        <f t="shared" si="90"/>
        <v>324.9</v>
      </c>
      <c r="I309" s="17">
        <f t="shared" si="90"/>
        <v>341.1</v>
      </c>
      <c r="J309" s="17">
        <f t="shared" si="90"/>
        <v>312.3</v>
      </c>
      <c r="K309" s="30" t="s">
        <v>97</v>
      </c>
    </row>
    <row r="310" spans="1:29" ht="15.75" thickBot="1">
      <c r="A310" s="82">
        <v>216</v>
      </c>
      <c r="B310" s="8" t="s">
        <v>19</v>
      </c>
      <c r="C310" s="108" t="s">
        <v>171</v>
      </c>
      <c r="D310" s="17">
        <f>E310+F310+G310+H310+I310+J310</f>
        <v>1675.8999999999999</v>
      </c>
      <c r="E310" s="18">
        <v>293.5</v>
      </c>
      <c r="F310" s="18">
        <f>297.5+U310+W310</f>
        <v>209.3</v>
      </c>
      <c r="G310" s="18">
        <f>309.4+AA310+AC310</f>
        <v>194.8</v>
      </c>
      <c r="H310" s="18">
        <v>324.9</v>
      </c>
      <c r="I310" s="18">
        <v>341.1</v>
      </c>
      <c r="J310" s="18">
        <v>312.3</v>
      </c>
      <c r="K310" s="27"/>
      <c r="U310">
        <v>-40</v>
      </c>
      <c r="W310">
        <v>-48.2</v>
      </c>
      <c r="AA310">
        <v>-37.9</v>
      </c>
      <c r="AC310">
        <v>-76.7</v>
      </c>
    </row>
    <row r="311" spans="1:11" ht="63.75" customHeight="1" hidden="1" thickBot="1">
      <c r="A311" s="82"/>
      <c r="B311" s="8" t="s">
        <v>27</v>
      </c>
      <c r="C311" s="108"/>
      <c r="D311" s="17">
        <f>E311+F311+G311+H311+I311+J311</f>
        <v>0</v>
      </c>
      <c r="E311" s="17">
        <f aca="true" t="shared" si="91" ref="E311:J311">E312</f>
        <v>0</v>
      </c>
      <c r="F311" s="17">
        <f t="shared" si="91"/>
        <v>0</v>
      </c>
      <c r="G311" s="17">
        <f t="shared" si="91"/>
        <v>0</v>
      </c>
      <c r="H311" s="17">
        <f t="shared" si="91"/>
        <v>0</v>
      </c>
      <c r="I311" s="17">
        <f t="shared" si="91"/>
        <v>0</v>
      </c>
      <c r="J311" s="17">
        <f t="shared" si="91"/>
        <v>0</v>
      </c>
      <c r="K311" s="10"/>
    </row>
    <row r="312" spans="1:11" ht="16.5" customHeight="1" hidden="1" thickBot="1">
      <c r="A312" s="82"/>
      <c r="B312" s="40" t="s">
        <v>5</v>
      </c>
      <c r="C312" s="109"/>
      <c r="D312" s="17">
        <f>E312+F312+G312+H312+I312+J312</f>
        <v>0</v>
      </c>
      <c r="E312" s="41"/>
      <c r="F312" s="41"/>
      <c r="G312" s="41"/>
      <c r="H312" s="41"/>
      <c r="I312" s="41"/>
      <c r="J312" s="41"/>
      <c r="K312" s="42"/>
    </row>
    <row r="313" spans="1:11" ht="66" customHeight="1" thickBot="1">
      <c r="A313" s="39">
        <v>217</v>
      </c>
      <c r="B313" s="58" t="s">
        <v>127</v>
      </c>
      <c r="C313" s="123" t="s">
        <v>171</v>
      </c>
      <c r="D313" s="48">
        <f>D314</f>
        <v>0</v>
      </c>
      <c r="E313" s="48">
        <f aca="true" t="shared" si="92" ref="E313:J313">E314</f>
        <v>0</v>
      </c>
      <c r="F313" s="48">
        <f t="shared" si="92"/>
        <v>0</v>
      </c>
      <c r="G313" s="48">
        <f t="shared" si="92"/>
        <v>0</v>
      </c>
      <c r="H313" s="48">
        <f t="shared" si="92"/>
        <v>0</v>
      </c>
      <c r="I313" s="48">
        <f t="shared" si="92"/>
        <v>0</v>
      </c>
      <c r="J313" s="48">
        <f t="shared" si="92"/>
        <v>0</v>
      </c>
      <c r="K313" s="66" t="s">
        <v>98</v>
      </c>
    </row>
    <row r="314" spans="1:11" ht="15.75" thickBot="1">
      <c r="A314" s="82">
        <v>218</v>
      </c>
      <c r="B314" s="8" t="s">
        <v>19</v>
      </c>
      <c r="C314" s="108" t="s">
        <v>171</v>
      </c>
      <c r="D314" s="17">
        <f>SUM(E314:J314)</f>
        <v>0</v>
      </c>
      <c r="E314" s="17">
        <f>SUM(F314:K314)</f>
        <v>0</v>
      </c>
      <c r="F314" s="17">
        <f>SUM(G314:L314)</f>
        <v>0</v>
      </c>
      <c r="G314" s="17">
        <f>SUM(H314:L314)</f>
        <v>0</v>
      </c>
      <c r="H314" s="17">
        <f>SUM(I314:L314)</f>
        <v>0</v>
      </c>
      <c r="I314" s="17">
        <f>SUM(J314:L314)</f>
        <v>0</v>
      </c>
      <c r="J314" s="17">
        <f>SUM(K314:L314)</f>
        <v>0</v>
      </c>
      <c r="K314" s="27"/>
    </row>
    <row r="315" spans="1:11" ht="22.5" customHeight="1" thickBot="1">
      <c r="A315" s="37">
        <v>219</v>
      </c>
      <c r="B315" s="179" t="s">
        <v>64</v>
      </c>
      <c r="C315" s="180"/>
      <c r="D315" s="180"/>
      <c r="E315" s="180"/>
      <c r="F315" s="180"/>
      <c r="G315" s="180"/>
      <c r="H315" s="180"/>
      <c r="I315" s="180"/>
      <c r="J315" s="180"/>
      <c r="K315" s="181"/>
    </row>
    <row r="316" spans="1:11" ht="15.75" thickBot="1">
      <c r="A316" s="82">
        <v>220</v>
      </c>
      <c r="B316" s="8" t="s">
        <v>8</v>
      </c>
      <c r="C316" s="108" t="s">
        <v>171</v>
      </c>
      <c r="D316" s="17">
        <f>D317</f>
        <v>0</v>
      </c>
      <c r="E316" s="17">
        <f aca="true" t="shared" si="93" ref="E316:J316">E317</f>
        <v>0</v>
      </c>
      <c r="F316" s="17">
        <f t="shared" si="93"/>
        <v>0</v>
      </c>
      <c r="G316" s="17">
        <f t="shared" si="93"/>
        <v>0</v>
      </c>
      <c r="H316" s="17">
        <f t="shared" si="93"/>
        <v>0</v>
      </c>
      <c r="I316" s="17">
        <f t="shared" si="93"/>
        <v>0</v>
      </c>
      <c r="J316" s="17">
        <f t="shared" si="93"/>
        <v>0</v>
      </c>
      <c r="K316" s="27"/>
    </row>
    <row r="317" spans="1:11" ht="15.75" thickBot="1">
      <c r="A317" s="82">
        <v>221</v>
      </c>
      <c r="B317" s="8" t="s">
        <v>10</v>
      </c>
      <c r="C317" s="108" t="s">
        <v>171</v>
      </c>
      <c r="D317" s="17">
        <f>E317+F317+G317+H317+I317+J317</f>
        <v>0</v>
      </c>
      <c r="E317" s="18">
        <f aca="true" t="shared" si="94" ref="E317:J317">E324+E357+E359</f>
        <v>0</v>
      </c>
      <c r="F317" s="18">
        <f t="shared" si="94"/>
        <v>0</v>
      </c>
      <c r="G317" s="18">
        <f t="shared" si="94"/>
        <v>0</v>
      </c>
      <c r="H317" s="18">
        <f t="shared" si="94"/>
        <v>0</v>
      </c>
      <c r="I317" s="18">
        <f t="shared" si="94"/>
        <v>0</v>
      </c>
      <c r="J317" s="18">
        <f t="shared" si="94"/>
        <v>0</v>
      </c>
      <c r="K317" s="27"/>
    </row>
    <row r="318" spans="1:11" ht="16.5" customHeight="1" hidden="1">
      <c r="A318" s="82"/>
      <c r="B318" s="8" t="s">
        <v>6</v>
      </c>
      <c r="C318" s="108"/>
      <c r="D318" s="18"/>
      <c r="E318" s="18"/>
      <c r="F318" s="18"/>
      <c r="G318" s="18"/>
      <c r="H318" s="18"/>
      <c r="I318" s="18"/>
      <c r="J318" s="18"/>
      <c r="K318" s="27"/>
    </row>
    <row r="319" spans="1:11" ht="16.5" customHeight="1" hidden="1">
      <c r="A319" s="82"/>
      <c r="B319" s="8" t="s">
        <v>19</v>
      </c>
      <c r="C319" s="108"/>
      <c r="D319" s="18"/>
      <c r="E319" s="18"/>
      <c r="F319" s="18"/>
      <c r="G319" s="18"/>
      <c r="H319" s="18"/>
      <c r="I319" s="18"/>
      <c r="J319" s="18"/>
      <c r="K319" s="27"/>
    </row>
    <row r="320" spans="1:11" ht="52.5" customHeight="1" thickBot="1">
      <c r="A320" s="90">
        <v>222</v>
      </c>
      <c r="B320" s="96" t="s">
        <v>149</v>
      </c>
      <c r="C320" s="108" t="s">
        <v>171</v>
      </c>
      <c r="D320" s="98">
        <f>D321+D322</f>
        <v>0</v>
      </c>
      <c r="E320" s="98">
        <f aca="true" t="shared" si="95" ref="E320:J320">E321+E322</f>
        <v>0</v>
      </c>
      <c r="F320" s="98">
        <f t="shared" si="95"/>
        <v>0</v>
      </c>
      <c r="G320" s="98">
        <f t="shared" si="95"/>
        <v>0</v>
      </c>
      <c r="H320" s="98">
        <f t="shared" si="95"/>
        <v>0</v>
      </c>
      <c r="I320" s="98">
        <f t="shared" si="95"/>
        <v>0</v>
      </c>
      <c r="J320" s="98">
        <f t="shared" si="95"/>
        <v>0</v>
      </c>
      <c r="K320" s="27"/>
    </row>
    <row r="321" spans="1:11" ht="15.75" thickBot="1">
      <c r="A321" s="90">
        <v>223</v>
      </c>
      <c r="B321" s="96" t="s">
        <v>4</v>
      </c>
      <c r="C321" s="108" t="s">
        <v>171</v>
      </c>
      <c r="D321" s="98">
        <f>E321+F321+G321+H321+I321+J321</f>
        <v>0</v>
      </c>
      <c r="E321" s="99">
        <v>0</v>
      </c>
      <c r="F321" s="99">
        <v>0</v>
      </c>
      <c r="G321" s="99">
        <v>0</v>
      </c>
      <c r="H321" s="99">
        <v>0</v>
      </c>
      <c r="I321" s="99">
        <v>0</v>
      </c>
      <c r="J321" s="99">
        <v>0</v>
      </c>
      <c r="K321" s="27"/>
    </row>
    <row r="322" spans="1:11" ht="15.75" thickBot="1">
      <c r="A322" s="90">
        <v>224</v>
      </c>
      <c r="B322" s="96" t="s">
        <v>5</v>
      </c>
      <c r="C322" s="108" t="s">
        <v>171</v>
      </c>
      <c r="D322" s="98">
        <f>E322+F322+G322+H322+I322+J322</f>
        <v>0</v>
      </c>
      <c r="E322" s="100">
        <v>0</v>
      </c>
      <c r="F322" s="100">
        <v>0</v>
      </c>
      <c r="G322" s="100">
        <v>0</v>
      </c>
      <c r="H322" s="100">
        <v>0</v>
      </c>
      <c r="I322" s="100">
        <v>0</v>
      </c>
      <c r="J322" s="100">
        <v>0</v>
      </c>
      <c r="K322" s="27"/>
    </row>
    <row r="323" spans="1:11" ht="47.25" thickBot="1">
      <c r="A323" s="82">
        <v>225</v>
      </c>
      <c r="B323" s="51" t="s">
        <v>51</v>
      </c>
      <c r="C323" s="111" t="s">
        <v>171</v>
      </c>
      <c r="D323" s="17">
        <f>D324</f>
        <v>0</v>
      </c>
      <c r="E323" s="17">
        <f aca="true" t="shared" si="96" ref="E323:J323">E324</f>
        <v>0</v>
      </c>
      <c r="F323" s="17">
        <f t="shared" si="96"/>
        <v>0</v>
      </c>
      <c r="G323" s="17">
        <f t="shared" si="96"/>
        <v>0</v>
      </c>
      <c r="H323" s="17">
        <f t="shared" si="96"/>
        <v>0</v>
      </c>
      <c r="I323" s="17">
        <f t="shared" si="96"/>
        <v>0</v>
      </c>
      <c r="J323" s="17">
        <f t="shared" si="96"/>
        <v>0</v>
      </c>
      <c r="K323" s="47" t="s">
        <v>99</v>
      </c>
    </row>
    <row r="324" spans="1:11" ht="15.75" thickBot="1">
      <c r="A324" s="82">
        <v>226</v>
      </c>
      <c r="B324" s="8" t="s">
        <v>5</v>
      </c>
      <c r="C324" s="108" t="s">
        <v>171</v>
      </c>
      <c r="D324" s="17">
        <f>E324+F324+G324+H324+I324+J324</f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27"/>
    </row>
    <row r="325" spans="1:11" ht="22.5" customHeight="1" thickBot="1">
      <c r="A325" s="37">
        <v>227</v>
      </c>
      <c r="B325" s="179" t="s">
        <v>63</v>
      </c>
      <c r="C325" s="180"/>
      <c r="D325" s="180"/>
      <c r="E325" s="180"/>
      <c r="F325" s="180"/>
      <c r="G325" s="180"/>
      <c r="H325" s="180"/>
      <c r="I325" s="180"/>
      <c r="J325" s="180"/>
      <c r="K325" s="181"/>
    </row>
    <row r="326" spans="1:11" ht="15.75" thickBot="1">
      <c r="A326" s="82">
        <v>228</v>
      </c>
      <c r="B326" s="8" t="s">
        <v>8</v>
      </c>
      <c r="C326" s="108" t="s">
        <v>171</v>
      </c>
      <c r="D326" s="17">
        <f>D327</f>
        <v>35713.1</v>
      </c>
      <c r="E326" s="17">
        <f aca="true" t="shared" si="97" ref="E326:J326">E327</f>
        <v>5266.400000000001</v>
      </c>
      <c r="F326" s="17">
        <f t="shared" si="97"/>
        <v>15368.9</v>
      </c>
      <c r="G326" s="17">
        <f t="shared" si="97"/>
        <v>15077.800000000001</v>
      </c>
      <c r="H326" s="17">
        <f t="shared" si="97"/>
        <v>0</v>
      </c>
      <c r="I326" s="17">
        <f t="shared" si="97"/>
        <v>0</v>
      </c>
      <c r="J326" s="17">
        <f t="shared" si="97"/>
        <v>0</v>
      </c>
      <c r="K326" s="27"/>
    </row>
    <row r="327" spans="1:11" ht="15.75" thickBot="1">
      <c r="A327" s="82">
        <v>229</v>
      </c>
      <c r="B327" s="8" t="s">
        <v>10</v>
      </c>
      <c r="C327" s="108" t="s">
        <v>171</v>
      </c>
      <c r="D327" s="17">
        <f>E327+F327+G327+H327+I327+J327</f>
        <v>35713.1</v>
      </c>
      <c r="E327" s="18">
        <f aca="true" t="shared" si="98" ref="E327:J327">E334+E364+E366</f>
        <v>5266.400000000001</v>
      </c>
      <c r="F327" s="18">
        <f t="shared" si="98"/>
        <v>15368.9</v>
      </c>
      <c r="G327" s="18">
        <f t="shared" si="98"/>
        <v>15077.800000000001</v>
      </c>
      <c r="H327" s="18">
        <f t="shared" si="98"/>
        <v>0</v>
      </c>
      <c r="I327" s="18">
        <f t="shared" si="98"/>
        <v>0</v>
      </c>
      <c r="J327" s="18">
        <f t="shared" si="98"/>
        <v>0</v>
      </c>
      <c r="K327" s="27"/>
    </row>
    <row r="328" spans="1:11" ht="16.5" customHeight="1" hidden="1">
      <c r="A328" s="82"/>
      <c r="B328" s="8" t="s">
        <v>6</v>
      </c>
      <c r="C328" s="108"/>
      <c r="D328" s="18"/>
      <c r="E328" s="18"/>
      <c r="F328" s="18"/>
      <c r="G328" s="18"/>
      <c r="H328" s="18"/>
      <c r="I328" s="18"/>
      <c r="J328" s="18"/>
      <c r="K328" s="27"/>
    </row>
    <row r="329" spans="1:11" ht="16.5" customHeight="1" hidden="1">
      <c r="A329" s="82"/>
      <c r="B329" s="8" t="s">
        <v>19</v>
      </c>
      <c r="C329" s="108"/>
      <c r="D329" s="18"/>
      <c r="E329" s="18"/>
      <c r="F329" s="18"/>
      <c r="G329" s="18"/>
      <c r="H329" s="18"/>
      <c r="I329" s="18"/>
      <c r="J329" s="18"/>
      <c r="K329" s="27"/>
    </row>
    <row r="330" spans="1:11" ht="52.5" customHeight="1" thickBot="1">
      <c r="A330" s="90">
        <v>230</v>
      </c>
      <c r="B330" s="96" t="s">
        <v>149</v>
      </c>
      <c r="C330" s="108" t="s">
        <v>171</v>
      </c>
      <c r="D330" s="98">
        <f>D331+D332</f>
        <v>0</v>
      </c>
      <c r="E330" s="98">
        <f aca="true" t="shared" si="99" ref="E330:J330">E331+E332</f>
        <v>0</v>
      </c>
      <c r="F330" s="98">
        <f t="shared" si="99"/>
        <v>0</v>
      </c>
      <c r="G330" s="98">
        <f t="shared" si="99"/>
        <v>0</v>
      </c>
      <c r="H330" s="98">
        <f t="shared" si="99"/>
        <v>0</v>
      </c>
      <c r="I330" s="98">
        <f t="shared" si="99"/>
        <v>0</v>
      </c>
      <c r="J330" s="98">
        <f t="shared" si="99"/>
        <v>0</v>
      </c>
      <c r="K330" s="27"/>
    </row>
    <row r="331" spans="1:11" ht="15.75" thickBot="1">
      <c r="A331" s="90">
        <v>231</v>
      </c>
      <c r="B331" s="96" t="s">
        <v>4</v>
      </c>
      <c r="C331" s="108" t="s">
        <v>171</v>
      </c>
      <c r="D331" s="98">
        <f>E331+F331+G331+H331+I331+J331</f>
        <v>0</v>
      </c>
      <c r="E331" s="99">
        <v>0</v>
      </c>
      <c r="F331" s="99">
        <v>0</v>
      </c>
      <c r="G331" s="99">
        <v>0</v>
      </c>
      <c r="H331" s="99">
        <v>0</v>
      </c>
      <c r="I331" s="99">
        <v>0</v>
      </c>
      <c r="J331" s="99">
        <v>0</v>
      </c>
      <c r="K331" s="27"/>
    </row>
    <row r="332" spans="1:11" ht="15.75" thickBot="1">
      <c r="A332" s="90">
        <v>232</v>
      </c>
      <c r="B332" s="96" t="s">
        <v>5</v>
      </c>
      <c r="C332" s="108" t="s">
        <v>171</v>
      </c>
      <c r="D332" s="98">
        <f>E332+F332+G332+H332+I332+J332</f>
        <v>0</v>
      </c>
      <c r="E332" s="100">
        <v>0</v>
      </c>
      <c r="F332" s="100">
        <v>0</v>
      </c>
      <c r="G332" s="100">
        <v>0</v>
      </c>
      <c r="H332" s="100">
        <v>0</v>
      </c>
      <c r="I332" s="100">
        <v>0</v>
      </c>
      <c r="J332" s="100">
        <v>0</v>
      </c>
      <c r="K332" s="27"/>
    </row>
    <row r="333" spans="1:11" ht="63" thickBot="1">
      <c r="A333" s="82">
        <v>233</v>
      </c>
      <c r="B333" s="51" t="s">
        <v>47</v>
      </c>
      <c r="C333" s="111" t="s">
        <v>171</v>
      </c>
      <c r="D333" s="17">
        <f>D334</f>
        <v>35713.1</v>
      </c>
      <c r="E333" s="17">
        <f aca="true" t="shared" si="100" ref="E333:J333">E334</f>
        <v>5266.400000000001</v>
      </c>
      <c r="F333" s="17">
        <f t="shared" si="100"/>
        <v>15368.9</v>
      </c>
      <c r="G333" s="17">
        <f t="shared" si="100"/>
        <v>15077.800000000001</v>
      </c>
      <c r="H333" s="17">
        <f t="shared" si="100"/>
        <v>0</v>
      </c>
      <c r="I333" s="17">
        <f t="shared" si="100"/>
        <v>0</v>
      </c>
      <c r="J333" s="17">
        <f t="shared" si="100"/>
        <v>0</v>
      </c>
      <c r="K333" s="47" t="s">
        <v>100</v>
      </c>
    </row>
    <row r="334" spans="1:31" ht="15.75" thickBot="1">
      <c r="A334" s="82">
        <v>234</v>
      </c>
      <c r="B334" s="8" t="s">
        <v>5</v>
      </c>
      <c r="C334" s="108" t="s">
        <v>171</v>
      </c>
      <c r="D334" s="17">
        <f>E334+F334+G334+H334+I334+J334</f>
        <v>35713.1</v>
      </c>
      <c r="E334" s="18">
        <f>7066+L334+N334+P334+Q334+R334</f>
        <v>5266.400000000001</v>
      </c>
      <c r="F334" s="18">
        <f>15368.9+T334</f>
        <v>15368.9</v>
      </c>
      <c r="G334" s="18">
        <f>13684+AD334+AE334</f>
        <v>15077.800000000001</v>
      </c>
      <c r="H334" s="18">
        <v>0</v>
      </c>
      <c r="I334" s="18">
        <v>0</v>
      </c>
      <c r="J334" s="18">
        <v>0</v>
      </c>
      <c r="K334" s="27"/>
      <c r="L334" s="73">
        <v>-2072</v>
      </c>
      <c r="N334" s="74">
        <v>120.8</v>
      </c>
      <c r="P334">
        <v>212</v>
      </c>
      <c r="R334">
        <v>-60.4</v>
      </c>
      <c r="T334" s="77">
        <f>(-384.45-320.9+642+63.35)</f>
        <v>9.237055564881302E-14</v>
      </c>
      <c r="AD334">
        <v>169.7</v>
      </c>
      <c r="AE334">
        <v>1224.1</v>
      </c>
    </row>
    <row r="335" spans="1:11" ht="47.25" customHeight="1" thickBot="1">
      <c r="A335" s="37">
        <v>235</v>
      </c>
      <c r="B335" s="179" t="s">
        <v>72</v>
      </c>
      <c r="C335" s="180"/>
      <c r="D335" s="180"/>
      <c r="E335" s="180"/>
      <c r="F335" s="180"/>
      <c r="G335" s="180"/>
      <c r="H335" s="180"/>
      <c r="I335" s="180"/>
      <c r="J335" s="180"/>
      <c r="K335" s="181"/>
    </row>
    <row r="336" spans="1:11" ht="15.75" thickBot="1">
      <c r="A336" s="82">
        <v>236</v>
      </c>
      <c r="B336" s="8" t="s">
        <v>8</v>
      </c>
      <c r="C336" s="108" t="s">
        <v>171</v>
      </c>
      <c r="D336" s="17">
        <f>D337</f>
        <v>300</v>
      </c>
      <c r="E336" s="17">
        <f aca="true" t="shared" si="101" ref="E336:J336">E337</f>
        <v>300</v>
      </c>
      <c r="F336" s="17">
        <f t="shared" si="101"/>
        <v>0</v>
      </c>
      <c r="G336" s="17">
        <f t="shared" si="101"/>
        <v>0</v>
      </c>
      <c r="H336" s="17">
        <f t="shared" si="101"/>
        <v>0</v>
      </c>
      <c r="I336" s="17">
        <f t="shared" si="101"/>
        <v>0</v>
      </c>
      <c r="J336" s="17">
        <f t="shared" si="101"/>
        <v>0</v>
      </c>
      <c r="K336" s="27"/>
    </row>
    <row r="337" spans="1:11" ht="15.75" thickBot="1">
      <c r="A337" s="82">
        <v>237</v>
      </c>
      <c r="B337" s="8" t="s">
        <v>10</v>
      </c>
      <c r="C337" s="108" t="s">
        <v>171</v>
      </c>
      <c r="D337" s="17">
        <f>E337+F337+G337+H337+I337+J337</f>
        <v>300</v>
      </c>
      <c r="E337" s="18">
        <f aca="true" t="shared" si="102" ref="E337:J337">E344+E372+E374</f>
        <v>300</v>
      </c>
      <c r="F337" s="18">
        <f t="shared" si="102"/>
        <v>0</v>
      </c>
      <c r="G337" s="18">
        <f t="shared" si="102"/>
        <v>0</v>
      </c>
      <c r="H337" s="18">
        <f t="shared" si="102"/>
        <v>0</v>
      </c>
      <c r="I337" s="18">
        <f t="shared" si="102"/>
        <v>0</v>
      </c>
      <c r="J337" s="18">
        <f t="shared" si="102"/>
        <v>0</v>
      </c>
      <c r="K337" s="27"/>
    </row>
    <row r="338" spans="1:11" ht="16.5" customHeight="1" hidden="1">
      <c r="A338" s="82"/>
      <c r="B338" s="8" t="s">
        <v>6</v>
      </c>
      <c r="C338" s="108"/>
      <c r="D338" s="18"/>
      <c r="E338" s="18"/>
      <c r="F338" s="18"/>
      <c r="G338" s="18"/>
      <c r="H338" s="18"/>
      <c r="I338" s="18"/>
      <c r="J338" s="18"/>
      <c r="K338" s="27"/>
    </row>
    <row r="339" spans="1:11" ht="16.5" customHeight="1" hidden="1">
      <c r="A339" s="82"/>
      <c r="B339" s="8" t="s">
        <v>19</v>
      </c>
      <c r="C339" s="108"/>
      <c r="D339" s="18"/>
      <c r="E339" s="18"/>
      <c r="F339" s="18"/>
      <c r="G339" s="18"/>
      <c r="H339" s="18"/>
      <c r="I339" s="18"/>
      <c r="J339" s="18"/>
      <c r="K339" s="27"/>
    </row>
    <row r="340" spans="1:11" ht="52.5" customHeight="1" thickBot="1">
      <c r="A340" s="90">
        <v>238</v>
      </c>
      <c r="B340" s="96" t="s">
        <v>149</v>
      </c>
      <c r="C340" s="108" t="s">
        <v>171</v>
      </c>
      <c r="D340" s="98">
        <f>D341+D342</f>
        <v>300</v>
      </c>
      <c r="E340" s="98">
        <f aca="true" t="shared" si="103" ref="E340:J340">E341+E342</f>
        <v>300</v>
      </c>
      <c r="F340" s="98">
        <f t="shared" si="103"/>
        <v>0</v>
      </c>
      <c r="G340" s="98">
        <f t="shared" si="103"/>
        <v>0</v>
      </c>
      <c r="H340" s="98">
        <f t="shared" si="103"/>
        <v>0</v>
      </c>
      <c r="I340" s="98">
        <f t="shared" si="103"/>
        <v>0</v>
      </c>
      <c r="J340" s="98">
        <f t="shared" si="103"/>
        <v>0</v>
      </c>
      <c r="K340" s="27"/>
    </row>
    <row r="341" spans="1:11" ht="15.75" thickBot="1">
      <c r="A341" s="90">
        <v>239</v>
      </c>
      <c r="B341" s="96" t="s">
        <v>4</v>
      </c>
      <c r="C341" s="108" t="s">
        <v>171</v>
      </c>
      <c r="D341" s="98">
        <f>E341+F341+G341+H341+I341+J341</f>
        <v>0</v>
      </c>
      <c r="E341" s="99">
        <v>0</v>
      </c>
      <c r="F341" s="99">
        <v>0</v>
      </c>
      <c r="G341" s="99">
        <v>0</v>
      </c>
      <c r="H341" s="99">
        <v>0</v>
      </c>
      <c r="I341" s="99">
        <v>0</v>
      </c>
      <c r="J341" s="99">
        <v>0</v>
      </c>
      <c r="K341" s="27"/>
    </row>
    <row r="342" spans="1:11" ht="15.75" thickBot="1">
      <c r="A342" s="90">
        <v>240</v>
      </c>
      <c r="B342" s="96" t="s">
        <v>5</v>
      </c>
      <c r="C342" s="108" t="s">
        <v>171</v>
      </c>
      <c r="D342" s="98">
        <f>E342+F342+G342+H342+I342+J342</f>
        <v>300</v>
      </c>
      <c r="E342" s="100">
        <f aca="true" t="shared" si="104" ref="E342:J342">E337</f>
        <v>300</v>
      </c>
      <c r="F342" s="100">
        <f t="shared" si="104"/>
        <v>0</v>
      </c>
      <c r="G342" s="100">
        <f t="shared" si="104"/>
        <v>0</v>
      </c>
      <c r="H342" s="100">
        <f t="shared" si="104"/>
        <v>0</v>
      </c>
      <c r="I342" s="100">
        <f t="shared" si="104"/>
        <v>0</v>
      </c>
      <c r="J342" s="100">
        <f t="shared" si="104"/>
        <v>0</v>
      </c>
      <c r="K342" s="27"/>
    </row>
    <row r="343" spans="1:11" ht="162.75" customHeight="1" thickBot="1">
      <c r="A343" s="82">
        <v>241</v>
      </c>
      <c r="B343" s="51" t="s">
        <v>128</v>
      </c>
      <c r="C343" s="111" t="s">
        <v>171</v>
      </c>
      <c r="D343" s="17">
        <f>D344</f>
        <v>300</v>
      </c>
      <c r="E343" s="17">
        <f aca="true" t="shared" si="105" ref="E343:J343">E344</f>
        <v>300</v>
      </c>
      <c r="F343" s="17">
        <f t="shared" si="105"/>
        <v>0</v>
      </c>
      <c r="G343" s="17">
        <f t="shared" si="105"/>
        <v>0</v>
      </c>
      <c r="H343" s="17">
        <f t="shared" si="105"/>
        <v>0</v>
      </c>
      <c r="I343" s="17">
        <f t="shared" si="105"/>
        <v>0</v>
      </c>
      <c r="J343" s="17">
        <f t="shared" si="105"/>
        <v>0</v>
      </c>
      <c r="K343" s="47" t="s">
        <v>101</v>
      </c>
    </row>
    <row r="344" spans="1:11" ht="15.75" thickBot="1">
      <c r="A344" s="82">
        <v>242</v>
      </c>
      <c r="B344" s="8" t="s">
        <v>5</v>
      </c>
      <c r="C344" s="108" t="s">
        <v>171</v>
      </c>
      <c r="D344" s="17">
        <f>E344+F344+G344+H344+I344+J344</f>
        <v>300</v>
      </c>
      <c r="E344" s="35">
        <v>300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27"/>
    </row>
    <row r="345" spans="1:11" ht="47.25" customHeight="1" hidden="1" thickBot="1">
      <c r="A345" s="37">
        <v>258</v>
      </c>
      <c r="B345" s="179" t="s">
        <v>54</v>
      </c>
      <c r="C345" s="180"/>
      <c r="D345" s="180"/>
      <c r="E345" s="180"/>
      <c r="F345" s="180"/>
      <c r="G345" s="180"/>
      <c r="H345" s="180"/>
      <c r="I345" s="180"/>
      <c r="J345" s="180"/>
      <c r="K345" s="181"/>
    </row>
    <row r="346" spans="1:11" ht="16.5" customHeight="1" hidden="1" thickBot="1">
      <c r="A346" s="82">
        <v>259</v>
      </c>
      <c r="B346" s="8" t="s">
        <v>8</v>
      </c>
      <c r="C346" s="8"/>
      <c r="D346" s="17" t="e">
        <f>D347</f>
        <v>#REF!</v>
      </c>
      <c r="E346" s="17">
        <f aca="true" t="shared" si="106" ref="E346:J346">E347</f>
        <v>0</v>
      </c>
      <c r="F346" s="17">
        <f t="shared" si="106"/>
        <v>0</v>
      </c>
      <c r="G346" s="17">
        <f t="shared" si="106"/>
        <v>0</v>
      </c>
      <c r="H346" s="17">
        <f t="shared" si="106"/>
        <v>0</v>
      </c>
      <c r="I346" s="17">
        <f t="shared" si="106"/>
        <v>0</v>
      </c>
      <c r="J346" s="17">
        <f t="shared" si="106"/>
        <v>0</v>
      </c>
      <c r="K346" s="27"/>
    </row>
    <row r="347" spans="1:11" ht="16.5" customHeight="1" hidden="1" thickBot="1">
      <c r="A347" s="82">
        <v>260</v>
      </c>
      <c r="B347" s="8" t="s">
        <v>10</v>
      </c>
      <c r="C347" s="8"/>
      <c r="D347" s="17" t="e">
        <f>E347+F347+G347+H347+I347+J347+#REF!</f>
        <v>#REF!</v>
      </c>
      <c r="E347" s="18">
        <f aca="true" t="shared" si="107" ref="E347:J347">E351+E380+E382</f>
        <v>0</v>
      </c>
      <c r="F347" s="18">
        <f t="shared" si="107"/>
        <v>0</v>
      </c>
      <c r="G347" s="18">
        <f t="shared" si="107"/>
        <v>0</v>
      </c>
      <c r="H347" s="18">
        <f t="shared" si="107"/>
        <v>0</v>
      </c>
      <c r="I347" s="18">
        <f t="shared" si="107"/>
        <v>0</v>
      </c>
      <c r="J347" s="18">
        <f t="shared" si="107"/>
        <v>0</v>
      </c>
      <c r="K347" s="27"/>
    </row>
    <row r="348" spans="1:11" ht="16.5" customHeight="1" hidden="1">
      <c r="A348" s="82"/>
      <c r="B348" s="8" t="s">
        <v>6</v>
      </c>
      <c r="C348" s="8"/>
      <c r="D348" s="18"/>
      <c r="E348" s="18"/>
      <c r="F348" s="18"/>
      <c r="G348" s="18"/>
      <c r="H348" s="18"/>
      <c r="I348" s="18"/>
      <c r="J348" s="18"/>
      <c r="K348" s="27"/>
    </row>
    <row r="349" spans="1:11" ht="16.5" customHeight="1" hidden="1">
      <c r="A349" s="82"/>
      <c r="B349" s="8" t="s">
        <v>19</v>
      </c>
      <c r="C349" s="8"/>
      <c r="D349" s="18"/>
      <c r="E349" s="18"/>
      <c r="F349" s="18"/>
      <c r="G349" s="18"/>
      <c r="H349" s="18"/>
      <c r="I349" s="18"/>
      <c r="J349" s="18"/>
      <c r="K349" s="27"/>
    </row>
    <row r="350" spans="1:11" ht="63.75" customHeight="1" hidden="1" thickBot="1">
      <c r="A350" s="82">
        <v>261</v>
      </c>
      <c r="B350" s="26" t="s">
        <v>55</v>
      </c>
      <c r="C350" s="26"/>
      <c r="D350" s="17" t="e">
        <f>D351</f>
        <v>#REF!</v>
      </c>
      <c r="E350" s="17">
        <f aca="true" t="shared" si="108" ref="E350:J350">E351</f>
        <v>0</v>
      </c>
      <c r="F350" s="17">
        <f t="shared" si="108"/>
        <v>0</v>
      </c>
      <c r="G350" s="17">
        <f t="shared" si="108"/>
        <v>0</v>
      </c>
      <c r="H350" s="17">
        <f t="shared" si="108"/>
        <v>0</v>
      </c>
      <c r="I350" s="17">
        <f t="shared" si="108"/>
        <v>0</v>
      </c>
      <c r="J350" s="17">
        <f t="shared" si="108"/>
        <v>0</v>
      </c>
      <c r="K350" s="47"/>
    </row>
    <row r="351" spans="1:11" ht="16.5" customHeight="1" hidden="1" thickBot="1">
      <c r="A351" s="82">
        <v>262</v>
      </c>
      <c r="B351" s="8" t="s">
        <v>5</v>
      </c>
      <c r="C351" s="8"/>
      <c r="D351" s="17" t="e">
        <f>E351+F351+G351+H351+I351+J351+#REF!</f>
        <v>#REF!</v>
      </c>
      <c r="E351" s="18">
        <v>0</v>
      </c>
      <c r="F351" s="18">
        <v>0</v>
      </c>
      <c r="G351" s="18">
        <v>0</v>
      </c>
      <c r="H351" s="18">
        <v>0</v>
      </c>
      <c r="I351" s="18">
        <v>0</v>
      </c>
      <c r="J351" s="18">
        <v>0</v>
      </c>
      <c r="K351" s="27"/>
    </row>
    <row r="352" spans="1:11" ht="38.25" customHeight="1" hidden="1" thickBot="1">
      <c r="A352" s="82">
        <v>263</v>
      </c>
      <c r="B352" s="8" t="s">
        <v>24</v>
      </c>
      <c r="C352" s="8"/>
      <c r="D352" s="13" t="e">
        <f>E352+F352+G352+H352+I352+J352+#REF!</f>
        <v>#REF!</v>
      </c>
      <c r="E352" s="13">
        <v>0</v>
      </c>
      <c r="F352" s="13">
        <v>0</v>
      </c>
      <c r="G352" s="13">
        <v>0</v>
      </c>
      <c r="H352" s="13">
        <v>0</v>
      </c>
      <c r="I352" s="13">
        <v>0</v>
      </c>
      <c r="J352" s="13">
        <v>0</v>
      </c>
      <c r="K352" s="10"/>
    </row>
    <row r="353" spans="1:11" ht="95.25" customHeight="1" hidden="1" thickBot="1">
      <c r="A353" s="82">
        <v>261</v>
      </c>
      <c r="B353" s="26" t="s">
        <v>56</v>
      </c>
      <c r="C353" s="26"/>
      <c r="D353" s="17" t="e">
        <f>D354</f>
        <v>#REF!</v>
      </c>
      <c r="E353" s="17">
        <f aca="true" t="shared" si="109" ref="E353:J353">E354</f>
        <v>0</v>
      </c>
      <c r="F353" s="17">
        <f t="shared" si="109"/>
        <v>0</v>
      </c>
      <c r="G353" s="17">
        <f t="shared" si="109"/>
        <v>0</v>
      </c>
      <c r="H353" s="17">
        <f t="shared" si="109"/>
        <v>0</v>
      </c>
      <c r="I353" s="17">
        <f t="shared" si="109"/>
        <v>0</v>
      </c>
      <c r="J353" s="17">
        <f t="shared" si="109"/>
        <v>0</v>
      </c>
      <c r="K353" s="47"/>
    </row>
    <row r="354" spans="1:11" ht="16.5" customHeight="1" hidden="1" thickBot="1">
      <c r="A354" s="82">
        <v>262</v>
      </c>
      <c r="B354" s="8" t="s">
        <v>5</v>
      </c>
      <c r="C354" s="8"/>
      <c r="D354" s="17" t="e">
        <f>E354+F354+G354+H354+I354+J354+#REF!</f>
        <v>#REF!</v>
      </c>
      <c r="E354" s="18">
        <v>0</v>
      </c>
      <c r="F354" s="18">
        <v>0</v>
      </c>
      <c r="G354" s="18">
        <v>0</v>
      </c>
      <c r="H354" s="18">
        <v>0</v>
      </c>
      <c r="I354" s="18">
        <v>0</v>
      </c>
      <c r="J354" s="18">
        <v>0</v>
      </c>
      <c r="K354" s="27"/>
    </row>
    <row r="355" spans="1:11" ht="38.25" customHeight="1" hidden="1" thickBot="1">
      <c r="A355" s="82">
        <v>263</v>
      </c>
      <c r="B355" s="8" t="s">
        <v>24</v>
      </c>
      <c r="C355" s="8"/>
      <c r="D355" s="13" t="e">
        <f>E355+F355+G355+H355+I355+J355+#REF!</f>
        <v>#REF!</v>
      </c>
      <c r="E355" s="13">
        <v>0</v>
      </c>
      <c r="F355" s="13">
        <v>0</v>
      </c>
      <c r="G355" s="13">
        <v>0</v>
      </c>
      <c r="H355" s="13">
        <v>0</v>
      </c>
      <c r="I355" s="13">
        <v>0</v>
      </c>
      <c r="J355" s="13">
        <v>0</v>
      </c>
      <c r="K355" s="10"/>
    </row>
    <row r="356" ht="15" hidden="1">
      <c r="A356" s="4"/>
    </row>
  </sheetData>
  <sheetProtection/>
  <mergeCells count="288">
    <mergeCell ref="I186:I187"/>
    <mergeCell ref="J186:J187"/>
    <mergeCell ref="K186:K187"/>
    <mergeCell ref="K206:K207"/>
    <mergeCell ref="A186:A187"/>
    <mergeCell ref="D186:D187"/>
    <mergeCell ref="E186:E187"/>
    <mergeCell ref="F186:F187"/>
    <mergeCell ref="G186:G187"/>
    <mergeCell ref="H186:H187"/>
    <mergeCell ref="B345:K345"/>
    <mergeCell ref="K11:K14"/>
    <mergeCell ref="C11:C14"/>
    <mergeCell ref="A298:A299"/>
    <mergeCell ref="B298:K298"/>
    <mergeCell ref="B299:K299"/>
    <mergeCell ref="B315:K315"/>
    <mergeCell ref="B325:K325"/>
    <mergeCell ref="B335:K335"/>
    <mergeCell ref="J255:J256"/>
    <mergeCell ref="K255:K256"/>
    <mergeCell ref="K258:K259"/>
    <mergeCell ref="K273:K274"/>
    <mergeCell ref="K276:K277"/>
    <mergeCell ref="B279:K279"/>
    <mergeCell ref="I243:I244"/>
    <mergeCell ref="J243:J244"/>
    <mergeCell ref="K243:K244"/>
    <mergeCell ref="I255:I256"/>
    <mergeCell ref="A255:A256"/>
    <mergeCell ref="D255:D256"/>
    <mergeCell ref="E255:E256"/>
    <mergeCell ref="F255:F256"/>
    <mergeCell ref="G255:G256"/>
    <mergeCell ref="H255:H256"/>
    <mergeCell ref="A243:A244"/>
    <mergeCell ref="D243:D244"/>
    <mergeCell ref="E243:E244"/>
    <mergeCell ref="F243:F244"/>
    <mergeCell ref="G243:G244"/>
    <mergeCell ref="H243:H244"/>
    <mergeCell ref="H232:H233"/>
    <mergeCell ref="I232:I233"/>
    <mergeCell ref="J232:J233"/>
    <mergeCell ref="K232:K233"/>
    <mergeCell ref="B236:K236"/>
    <mergeCell ref="A226:A227"/>
    <mergeCell ref="A232:A233"/>
    <mergeCell ref="D232:D233"/>
    <mergeCell ref="E232:E233"/>
    <mergeCell ref="F232:F233"/>
    <mergeCell ref="G232:G233"/>
    <mergeCell ref="K220:K221"/>
    <mergeCell ref="A223:A224"/>
    <mergeCell ref="D223:D224"/>
    <mergeCell ref="E223:E224"/>
    <mergeCell ref="F223:F224"/>
    <mergeCell ref="G223:G224"/>
    <mergeCell ref="H223:H224"/>
    <mergeCell ref="I223:I224"/>
    <mergeCell ref="J223:J224"/>
    <mergeCell ref="K223:K224"/>
    <mergeCell ref="J215:J216"/>
    <mergeCell ref="K215:K216"/>
    <mergeCell ref="A220:A221"/>
    <mergeCell ref="D220:D221"/>
    <mergeCell ref="E220:E221"/>
    <mergeCell ref="F220:F221"/>
    <mergeCell ref="G220:G221"/>
    <mergeCell ref="H220:H221"/>
    <mergeCell ref="I220:I221"/>
    <mergeCell ref="J220:J221"/>
    <mergeCell ref="J208:J209"/>
    <mergeCell ref="K208:K209"/>
    <mergeCell ref="A215:A216"/>
    <mergeCell ref="D215:D216"/>
    <mergeCell ref="E215:E216"/>
    <mergeCell ref="F215:F216"/>
    <mergeCell ref="G215:G216"/>
    <mergeCell ref="H215:H216"/>
    <mergeCell ref="I215:I216"/>
    <mergeCell ref="K203:K204"/>
    <mergeCell ref="A208:A209"/>
    <mergeCell ref="D208:D209"/>
    <mergeCell ref="E208:E209"/>
    <mergeCell ref="F208:F209"/>
    <mergeCell ref="G208:G209"/>
    <mergeCell ref="H208:H209"/>
    <mergeCell ref="I208:I209"/>
    <mergeCell ref="K85:K86"/>
    <mergeCell ref="B190:K190"/>
    <mergeCell ref="A203:A204"/>
    <mergeCell ref="D203:D204"/>
    <mergeCell ref="E203:E204"/>
    <mergeCell ref="F203:F204"/>
    <mergeCell ref="G203:G204"/>
    <mergeCell ref="H203:H204"/>
    <mergeCell ref="I203:I204"/>
    <mergeCell ref="J203:J204"/>
    <mergeCell ref="J178:J179"/>
    <mergeCell ref="K178:K179"/>
    <mergeCell ref="A85:A86"/>
    <mergeCell ref="D85:D86"/>
    <mergeCell ref="E85:E86"/>
    <mergeCell ref="F85:F86"/>
    <mergeCell ref="G85:G86"/>
    <mergeCell ref="H85:H86"/>
    <mergeCell ref="I85:I86"/>
    <mergeCell ref="J85:J86"/>
    <mergeCell ref="I174:I175"/>
    <mergeCell ref="J174:J175"/>
    <mergeCell ref="K174:K175"/>
    <mergeCell ref="A178:A179"/>
    <mergeCell ref="D178:D179"/>
    <mergeCell ref="E178:E179"/>
    <mergeCell ref="F178:F179"/>
    <mergeCell ref="G178:G179"/>
    <mergeCell ref="H178:H179"/>
    <mergeCell ref="I178:I179"/>
    <mergeCell ref="A174:A175"/>
    <mergeCell ref="D174:D175"/>
    <mergeCell ref="E174:E175"/>
    <mergeCell ref="F174:F175"/>
    <mergeCell ref="G174:G175"/>
    <mergeCell ref="H174:H175"/>
    <mergeCell ref="K81:K82"/>
    <mergeCell ref="A170:A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J160:J161"/>
    <mergeCell ref="K160:K161"/>
    <mergeCell ref="A81:A82"/>
    <mergeCell ref="D81:D82"/>
    <mergeCell ref="E81:E82"/>
    <mergeCell ref="F81:F82"/>
    <mergeCell ref="G81:G82"/>
    <mergeCell ref="H81:H82"/>
    <mergeCell ref="I81:I82"/>
    <mergeCell ref="J81:J82"/>
    <mergeCell ref="I146:I147"/>
    <mergeCell ref="J146:J147"/>
    <mergeCell ref="K146:K147"/>
    <mergeCell ref="A160:A161"/>
    <mergeCell ref="D160:D161"/>
    <mergeCell ref="E160:E161"/>
    <mergeCell ref="F160:F161"/>
    <mergeCell ref="G160:G161"/>
    <mergeCell ref="H160:H161"/>
    <mergeCell ref="I160:I161"/>
    <mergeCell ref="A146:A147"/>
    <mergeCell ref="D146:D147"/>
    <mergeCell ref="E146:E147"/>
    <mergeCell ref="F146:F147"/>
    <mergeCell ref="G146:G147"/>
    <mergeCell ref="H146:H147"/>
    <mergeCell ref="J135:J136"/>
    <mergeCell ref="K135:K136"/>
    <mergeCell ref="A139:A140"/>
    <mergeCell ref="D139:D140"/>
    <mergeCell ref="E139:E140"/>
    <mergeCell ref="F139:F140"/>
    <mergeCell ref="G139:G140"/>
    <mergeCell ref="H139:H140"/>
    <mergeCell ref="I139:I140"/>
    <mergeCell ref="J139:J140"/>
    <mergeCell ref="I131:I132"/>
    <mergeCell ref="J131:J132"/>
    <mergeCell ref="K131:K132"/>
    <mergeCell ref="A135:A136"/>
    <mergeCell ref="D135:D136"/>
    <mergeCell ref="E135:E136"/>
    <mergeCell ref="F135:F136"/>
    <mergeCell ref="G135:G136"/>
    <mergeCell ref="H135:H136"/>
    <mergeCell ref="I135:I136"/>
    <mergeCell ref="A131:A132"/>
    <mergeCell ref="D131:D132"/>
    <mergeCell ref="E131:E132"/>
    <mergeCell ref="F131:F132"/>
    <mergeCell ref="G131:G132"/>
    <mergeCell ref="H131:H132"/>
    <mergeCell ref="K124:K125"/>
    <mergeCell ref="A127:A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J110:J111"/>
    <mergeCell ref="K110:K111"/>
    <mergeCell ref="A124:A125"/>
    <mergeCell ref="D124:D125"/>
    <mergeCell ref="E124:E125"/>
    <mergeCell ref="F124:F125"/>
    <mergeCell ref="G124:G125"/>
    <mergeCell ref="H124:H125"/>
    <mergeCell ref="I124:I125"/>
    <mergeCell ref="J124:J125"/>
    <mergeCell ref="I101:I102"/>
    <mergeCell ref="J101:J102"/>
    <mergeCell ref="K101:K102"/>
    <mergeCell ref="A110:A111"/>
    <mergeCell ref="D110:D111"/>
    <mergeCell ref="E110:E111"/>
    <mergeCell ref="F110:F111"/>
    <mergeCell ref="G110:G111"/>
    <mergeCell ref="H110:H111"/>
    <mergeCell ref="I110:I111"/>
    <mergeCell ref="I62:I63"/>
    <mergeCell ref="J62:J63"/>
    <mergeCell ref="K62:K63"/>
    <mergeCell ref="B67:K67"/>
    <mergeCell ref="A101:A102"/>
    <mergeCell ref="D101:D102"/>
    <mergeCell ref="E101:E102"/>
    <mergeCell ref="F101:F102"/>
    <mergeCell ref="G101:G102"/>
    <mergeCell ref="H101:H102"/>
    <mergeCell ref="A62:A63"/>
    <mergeCell ref="D62:D63"/>
    <mergeCell ref="E62:E63"/>
    <mergeCell ref="F62:F63"/>
    <mergeCell ref="G62:G63"/>
    <mergeCell ref="H62:H63"/>
    <mergeCell ref="K51:K52"/>
    <mergeCell ref="A55:A56"/>
    <mergeCell ref="D55:D56"/>
    <mergeCell ref="E55:E56"/>
    <mergeCell ref="F55:F56"/>
    <mergeCell ref="G55:G56"/>
    <mergeCell ref="H55:H56"/>
    <mergeCell ref="I55:I56"/>
    <mergeCell ref="J55:J56"/>
    <mergeCell ref="K55:K56"/>
    <mergeCell ref="J48:J49"/>
    <mergeCell ref="K48:K49"/>
    <mergeCell ref="A51:A52"/>
    <mergeCell ref="D51:D52"/>
    <mergeCell ref="E51:E52"/>
    <mergeCell ref="F51:F52"/>
    <mergeCell ref="G51:G52"/>
    <mergeCell ref="H51:H52"/>
    <mergeCell ref="I51:I52"/>
    <mergeCell ref="J51:J52"/>
    <mergeCell ref="B9:K9"/>
    <mergeCell ref="B11:B15"/>
    <mergeCell ref="D11:J14"/>
    <mergeCell ref="B29:K29"/>
    <mergeCell ref="D48:D49"/>
    <mergeCell ref="E48:E49"/>
    <mergeCell ref="F48:F49"/>
    <mergeCell ref="G48:G49"/>
    <mergeCell ref="H48:H49"/>
    <mergeCell ref="I48:I49"/>
    <mergeCell ref="J6:K6"/>
    <mergeCell ref="J7:K7"/>
    <mergeCell ref="J8:K8"/>
    <mergeCell ref="I3:K3"/>
    <mergeCell ref="I4:K4"/>
    <mergeCell ref="I2:K2"/>
    <mergeCell ref="I5:K5"/>
    <mergeCell ref="I182:I183"/>
    <mergeCell ref="J182:J183"/>
    <mergeCell ref="K182:K183"/>
    <mergeCell ref="A182:A183"/>
    <mergeCell ref="D182:D183"/>
    <mergeCell ref="E182:E183"/>
    <mergeCell ref="F182:F183"/>
    <mergeCell ref="G182:G183"/>
    <mergeCell ref="H182:H183"/>
    <mergeCell ref="I89:I90"/>
    <mergeCell ref="J89:J90"/>
    <mergeCell ref="K89:K90"/>
    <mergeCell ref="A89:A90"/>
    <mergeCell ref="D89:D90"/>
    <mergeCell ref="E89:E90"/>
    <mergeCell ref="F89:F90"/>
    <mergeCell ref="G89:G90"/>
    <mergeCell ref="H89:H90"/>
  </mergeCells>
  <printOptions/>
  <pageMargins left="1.1023622047244095" right="0.31496062992125984" top="0.7480314960629921" bottom="0.35433070866141736" header="0.31496062992125984" footer="0.31496062992125984"/>
  <pageSetup horizontalDpi="600" verticalDpi="600" orientation="landscape" paperSize="9" scale="63" r:id="rId1"/>
  <rowBreaks count="16" manualBreakCount="16">
    <brk id="28" max="11" man="1"/>
    <brk id="50" max="11" man="1"/>
    <brk id="66" max="11" man="1"/>
    <brk id="96" max="11" man="1"/>
    <brk id="112" max="11" man="1"/>
    <brk id="123" max="11" man="1"/>
    <brk id="142" max="11" man="1"/>
    <brk id="164" max="11" man="1"/>
    <brk id="189" max="11" man="1"/>
    <brk id="212" max="11" man="1"/>
    <brk id="235" max="11" man="1"/>
    <brk id="266" max="11" man="1"/>
    <brk id="278" max="11" man="1"/>
    <brk id="297" max="11" man="1"/>
    <brk id="324" max="11" man="1"/>
    <brk id="3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2022-12-15T10:17:04Z</dcterms:modified>
  <cp:category/>
  <cp:version/>
  <cp:contentType/>
  <cp:contentStatus/>
</cp:coreProperties>
</file>